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TesourariaRIVSA/Documentos Compartilhados/RI/1. Divulgação/2023/3T23/Planilhas interativas/"/>
    </mc:Choice>
  </mc:AlternateContent>
  <xr:revisionPtr revIDLastSave="5" documentId="13_ncr:1_{3422C5C9-6C92-4AB8-8C03-162BF4FF18DD}" xr6:coauthVersionLast="47" xr6:coauthVersionMax="47" xr10:uidLastSave="{5C745650-B5A6-4487-9A1A-67949C14FA9E}"/>
  <bookViews>
    <workbookView xWindow="39930" yWindow="0" windowWidth="8880" windowHeight="16590" tabRatio="782" activeTab="1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04" i="8" l="1"/>
  <c r="AO105" i="8" s="1"/>
  <c r="AO37" i="10" l="1"/>
  <c r="AO36" i="10"/>
  <c r="AO35" i="10"/>
  <c r="AO34" i="10"/>
  <c r="AO33" i="10"/>
  <c r="AO32" i="10"/>
  <c r="AO31" i="10"/>
  <c r="AO30" i="10"/>
  <c r="AO29" i="10"/>
  <c r="AO28" i="10"/>
  <c r="AO27" i="10"/>
  <c r="AO26" i="10"/>
  <c r="AO25" i="10"/>
  <c r="AO24" i="10"/>
  <c r="AO22" i="10"/>
  <c r="AO20" i="10"/>
  <c r="AO19" i="10"/>
  <c r="AO18" i="10"/>
  <c r="AO17" i="10"/>
  <c r="AO16" i="10"/>
  <c r="AO14" i="10"/>
  <c r="AO13" i="10"/>
  <c r="AO12" i="10"/>
  <c r="AO11" i="10"/>
  <c r="AO8" i="10"/>
  <c r="AN37" i="10"/>
  <c r="AN20" i="10"/>
  <c r="AN105" i="8"/>
  <c r="AN97" i="8"/>
  <c r="AO89" i="8"/>
  <c r="AN95" i="8"/>
  <c r="AN84" i="8"/>
  <c r="AO84" i="8" s="1"/>
  <c r="AN62" i="8"/>
  <c r="AN66" i="8" s="1"/>
  <c r="AN44" i="8"/>
  <c r="AO103" i="8"/>
  <c r="AO102" i="8"/>
  <c r="AO101" i="8"/>
  <c r="AO100" i="8"/>
  <c r="AO99" i="8"/>
  <c r="AO98" i="8"/>
  <c r="AO94" i="8"/>
  <c r="AO93" i="8"/>
  <c r="AO92" i="8"/>
  <c r="AO91" i="8"/>
  <c r="AO90" i="8"/>
  <c r="AO88" i="8"/>
  <c r="AO87" i="8"/>
  <c r="AO83" i="8"/>
  <c r="AO82" i="8"/>
  <c r="AO81" i="8"/>
  <c r="AO80" i="8"/>
  <c r="AO79" i="8"/>
  <c r="AO78" i="8"/>
  <c r="AO77" i="8"/>
  <c r="AO76" i="8"/>
  <c r="AO75" i="8"/>
  <c r="AO74" i="8"/>
  <c r="AO73" i="8"/>
  <c r="AO72" i="8"/>
  <c r="AO71" i="8"/>
  <c r="AO70" i="8"/>
  <c r="AO69" i="8"/>
  <c r="AO65" i="8"/>
  <c r="AO64" i="8"/>
  <c r="AO61" i="8"/>
  <c r="AO60" i="8"/>
  <c r="AO59" i="8"/>
  <c r="AO58" i="8"/>
  <c r="AO57" i="8"/>
  <c r="AO56" i="8"/>
  <c r="AO55" i="8"/>
  <c r="AO53" i="8"/>
  <c r="AO52" i="8"/>
  <c r="AO51" i="8"/>
  <c r="AO50" i="8"/>
  <c r="AO49" i="8"/>
  <c r="AO48" i="8"/>
  <c r="AO47" i="8"/>
  <c r="AO46" i="8"/>
  <c r="AO43" i="8"/>
  <c r="AO42" i="8"/>
  <c r="AO41" i="8"/>
  <c r="AO40" i="8"/>
  <c r="AO39" i="8"/>
  <c r="AO38" i="8"/>
  <c r="AO37" i="8"/>
  <c r="AO36" i="8"/>
  <c r="AO35" i="8"/>
  <c r="AO34" i="8"/>
  <c r="AO33" i="8"/>
  <c r="AO32" i="8"/>
  <c r="AO31" i="8"/>
  <c r="AO30" i="8"/>
  <c r="AO29" i="8"/>
  <c r="AO28" i="8"/>
  <c r="AO27" i="8"/>
  <c r="AO26" i="8"/>
  <c r="AO25" i="8"/>
  <c r="AO24" i="8"/>
  <c r="AO23" i="8"/>
  <c r="AO22" i="8"/>
  <c r="AO21" i="8"/>
  <c r="AO20" i="8"/>
  <c r="AO19" i="8"/>
  <c r="AO18" i="8"/>
  <c r="AO17" i="8"/>
  <c r="AO16" i="8"/>
  <c r="AO15" i="8"/>
  <c r="AO14" i="8"/>
  <c r="AO11" i="8"/>
  <c r="AO9" i="8"/>
  <c r="AN44" i="5"/>
  <c r="AO44" i="5" s="1"/>
  <c r="AN40" i="5"/>
  <c r="AO40" i="5" s="1"/>
  <c r="AN35" i="5"/>
  <c r="AN36" i="5" s="1"/>
  <c r="AO36" i="5" s="1"/>
  <c r="AN29" i="5"/>
  <c r="AN30" i="5" s="1"/>
  <c r="AO30" i="5" s="1"/>
  <c r="AN23" i="5"/>
  <c r="AO43" i="5"/>
  <c r="AO42" i="5"/>
  <c r="AO41" i="5"/>
  <c r="AO39" i="5"/>
  <c r="AO38" i="5"/>
  <c r="AO37" i="5"/>
  <c r="AO35" i="5"/>
  <c r="AO34" i="5"/>
  <c r="AO33" i="5"/>
  <c r="AO32" i="5"/>
  <c r="AO31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12" i="5"/>
  <c r="AO11" i="5"/>
  <c r="AO10" i="5"/>
  <c r="AO9" i="5"/>
  <c r="AO8" i="5"/>
  <c r="AN16" i="5"/>
  <c r="AN17" i="5" s="1"/>
  <c r="AN10" i="5"/>
  <c r="AG95" i="2"/>
  <c r="AG97" i="2" s="1"/>
  <c r="AG91" i="2"/>
  <c r="AG83" i="2"/>
  <c r="AG84" i="2" s="1"/>
  <c r="AG66" i="2"/>
  <c r="AG68" i="2" s="1"/>
  <c r="AG44" i="2"/>
  <c r="AG36" i="2"/>
  <c r="AG18" i="2"/>
  <c r="AG20" i="2" s="1"/>
  <c r="AG46" i="2" s="1"/>
  <c r="AF66" i="2"/>
  <c r="AF68" i="2" s="1"/>
  <c r="AF36" i="2"/>
  <c r="AF18" i="2"/>
  <c r="AF20" i="2" s="1"/>
  <c r="AF91" i="2"/>
  <c r="AF95" i="2" s="1"/>
  <c r="AF83" i="2"/>
  <c r="AM44" i="5"/>
  <c r="AM35" i="5"/>
  <c r="AM23" i="5"/>
  <c r="AM16" i="5"/>
  <c r="AL84" i="8"/>
  <c r="AM84" i="8"/>
  <c r="AM95" i="8"/>
  <c r="AM44" i="8"/>
  <c r="AM62" i="8" s="1"/>
  <c r="AM66" i="8" s="1"/>
  <c r="AF44" i="2" l="1"/>
  <c r="AF46" i="2" s="1"/>
  <c r="AF84" i="2"/>
  <c r="AF97" i="2" s="1"/>
  <c r="AM29" i="5"/>
  <c r="AM10" i="5"/>
  <c r="AM17" i="5" s="1"/>
  <c r="AM30" i="5" s="1"/>
  <c r="AM36" i="5" s="1"/>
  <c r="AM40" i="5" s="1"/>
  <c r="AM97" i="8"/>
  <c r="AM105" i="8" l="1"/>
  <c r="AM20" i="10" l="1"/>
  <c r="AL37" i="10"/>
  <c r="AL20" i="10"/>
  <c r="AL95" i="8"/>
  <c r="AO95" i="8" s="1"/>
  <c r="AL44" i="8"/>
  <c r="AO44" i="8" s="1"/>
  <c r="AL44" i="5"/>
  <c r="AL35" i="5"/>
  <c r="AL29" i="5"/>
  <c r="AL23" i="5"/>
  <c r="AL16" i="5"/>
  <c r="AL10" i="5"/>
  <c r="AE91" i="2"/>
  <c r="AE95" i="2" s="1"/>
  <c r="AE83" i="2"/>
  <c r="AE66" i="2"/>
  <c r="AE68" i="2" s="1"/>
  <c r="AE36" i="2"/>
  <c r="AE44" i="2" s="1"/>
  <c r="AE18" i="2"/>
  <c r="AE20" i="2" s="1"/>
  <c r="U95" i="8"/>
  <c r="U84" i="8"/>
  <c r="AL62" i="8" l="1"/>
  <c r="AO62" i="8" s="1"/>
  <c r="AM37" i="10"/>
  <c r="AE84" i="2"/>
  <c r="AE97" i="2" s="1"/>
  <c r="AL17" i="5"/>
  <c r="AE46" i="2"/>
  <c r="AJ20" i="10"/>
  <c r="AJ37" i="10" s="1"/>
  <c r="AK42" i="8"/>
  <c r="AK103" i="8"/>
  <c r="AK102" i="8"/>
  <c r="AK101" i="8"/>
  <c r="AK100" i="8"/>
  <c r="AK99" i="8"/>
  <c r="AK94" i="8"/>
  <c r="AK93" i="8"/>
  <c r="AK92" i="8"/>
  <c r="AK91" i="8"/>
  <c r="AK90" i="8"/>
  <c r="AK88" i="8"/>
  <c r="AK87" i="8"/>
  <c r="AK82" i="8"/>
  <c r="AK81" i="8"/>
  <c r="AK80" i="8"/>
  <c r="AK79" i="8"/>
  <c r="AK78" i="8"/>
  <c r="AK77" i="8"/>
  <c r="AK76" i="8"/>
  <c r="AK75" i="8"/>
  <c r="AK74" i="8"/>
  <c r="AK73" i="8"/>
  <c r="AK72" i="8"/>
  <c r="AK71" i="8"/>
  <c r="AK69" i="8"/>
  <c r="AK65" i="8"/>
  <c r="AK64" i="8"/>
  <c r="AK61" i="8"/>
  <c r="AK60" i="8"/>
  <c r="AK59" i="8"/>
  <c r="AK58" i="8"/>
  <c r="AK57" i="8"/>
  <c r="AK56" i="8"/>
  <c r="AK55" i="8"/>
  <c r="AK53" i="8"/>
  <c r="AK52" i="8"/>
  <c r="AK51" i="8"/>
  <c r="AK50" i="8"/>
  <c r="AK49" i="8"/>
  <c r="AK48" i="8"/>
  <c r="AK47" i="8"/>
  <c r="AK46" i="8"/>
  <c r="AK43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1" i="8"/>
  <c r="AK9" i="8"/>
  <c r="AJ95" i="8"/>
  <c r="AJ84" i="8"/>
  <c r="AJ44" i="8"/>
  <c r="AJ62" i="8" s="1"/>
  <c r="AJ66" i="8" s="1"/>
  <c r="AJ44" i="5"/>
  <c r="AJ35" i="5"/>
  <c r="AJ29" i="5"/>
  <c r="AJ23" i="5"/>
  <c r="AJ10" i="5"/>
  <c r="AJ16" i="5"/>
  <c r="AJ17" i="5" s="1"/>
  <c r="AD36" i="2"/>
  <c r="AL30" i="5" l="1"/>
  <c r="AJ30" i="5"/>
  <c r="AJ36" i="5" s="1"/>
  <c r="AJ40" i="5" s="1"/>
  <c r="AL66" i="8"/>
  <c r="AO66" i="8" s="1"/>
  <c r="AJ97" i="8"/>
  <c r="AJ105" i="8" s="1"/>
  <c r="AL36" i="5" l="1"/>
  <c r="AL97" i="8"/>
  <c r="AO97" i="8" s="1"/>
  <c r="AD91" i="2"/>
  <c r="AD95" i="2" s="1"/>
  <c r="AD83" i="2"/>
  <c r="AD66" i="2"/>
  <c r="AD68" i="2" s="1"/>
  <c r="AD44" i="2"/>
  <c r="AD18" i="2"/>
  <c r="AD20" i="2" s="1"/>
  <c r="AL40" i="5" l="1"/>
  <c r="AL105" i="8"/>
  <c r="AD84" i="2"/>
  <c r="AD97" i="2" s="1"/>
  <c r="AD46" i="2"/>
  <c r="AB11" i="2"/>
  <c r="AA11" i="2"/>
  <c r="AI20" i="10" l="1"/>
  <c r="AI37" i="10" s="1"/>
  <c r="AI95" i="8"/>
  <c r="AI84" i="8"/>
  <c r="AI44" i="8"/>
  <c r="AI62" i="8" s="1"/>
  <c r="AI66" i="8" s="1"/>
  <c r="AI44" i="5"/>
  <c r="AI35" i="5"/>
  <c r="AI29" i="5"/>
  <c r="AI23" i="5"/>
  <c r="AI16" i="5"/>
  <c r="AI10" i="5"/>
  <c r="AC91" i="2"/>
  <c r="AC95" i="2" s="1"/>
  <c r="AC83" i="2"/>
  <c r="AC66" i="2"/>
  <c r="AC68" i="2" s="1"/>
  <c r="AC36" i="2"/>
  <c r="AC44" i="2" s="1"/>
  <c r="AC18" i="2"/>
  <c r="AC20" i="2" s="1"/>
  <c r="AB36" i="2"/>
  <c r="AB44" i="2" s="1"/>
  <c r="AH20" i="10"/>
  <c r="AH37" i="10" s="1"/>
  <c r="AH95" i="8"/>
  <c r="AH84" i="8"/>
  <c r="AH44" i="8"/>
  <c r="AH62" i="8" s="1"/>
  <c r="AH44" i="5"/>
  <c r="AH35" i="5"/>
  <c r="AH29" i="5"/>
  <c r="AH23" i="5"/>
  <c r="AH16" i="5"/>
  <c r="AH10" i="5"/>
  <c r="AB91" i="2"/>
  <c r="AB95" i="2" s="1"/>
  <c r="AB83" i="2"/>
  <c r="AB66" i="2"/>
  <c r="AB68" i="2" s="1"/>
  <c r="AB18" i="2"/>
  <c r="AB20" i="2" s="1"/>
  <c r="AG95" i="8"/>
  <c r="AG84" i="8"/>
  <c r="AG44" i="8"/>
  <c r="AG62" i="8" s="1"/>
  <c r="AG66" i="8" s="1"/>
  <c r="AG44" i="5"/>
  <c r="AG35" i="5"/>
  <c r="AG29" i="5"/>
  <c r="AG23" i="5"/>
  <c r="AG16" i="5"/>
  <c r="AG10" i="5"/>
  <c r="AA91" i="2"/>
  <c r="AA95" i="2" s="1"/>
  <c r="AA83" i="2"/>
  <c r="AA66" i="2"/>
  <c r="AA68" i="2" s="1"/>
  <c r="AA36" i="2"/>
  <c r="AA44" i="2" s="1"/>
  <c r="AA18" i="2"/>
  <c r="AA20" i="2" s="1"/>
  <c r="AE35" i="10"/>
  <c r="AE31" i="10"/>
  <c r="AE28" i="10"/>
  <c r="AE27" i="10"/>
  <c r="AE26" i="10"/>
  <c r="AE24" i="10"/>
  <c r="AE22" i="10"/>
  <c r="AE14" i="10"/>
  <c r="AE13" i="10"/>
  <c r="AE12" i="10"/>
  <c r="AE11" i="10"/>
  <c r="AE8" i="10"/>
  <c r="AF20" i="10"/>
  <c r="AF37" i="10" s="1"/>
  <c r="AE95" i="8"/>
  <c r="AE84" i="8"/>
  <c r="AF80" i="8"/>
  <c r="AF79" i="8"/>
  <c r="AE44" i="8"/>
  <c r="AE62" i="8" s="1"/>
  <c r="AE66" i="8" s="1"/>
  <c r="AF38" i="8"/>
  <c r="AF20" i="8"/>
  <c r="AF16" i="8"/>
  <c r="AF103" i="8"/>
  <c r="AF102" i="8"/>
  <c r="AF101" i="8"/>
  <c r="AF100" i="8"/>
  <c r="AF99" i="8"/>
  <c r="AF94" i="8"/>
  <c r="AF93" i="8"/>
  <c r="AF92" i="8"/>
  <c r="AF91" i="8"/>
  <c r="AF90" i="8"/>
  <c r="AF88" i="8"/>
  <c r="AF87" i="8"/>
  <c r="AF82" i="8"/>
  <c r="AF78" i="8"/>
  <c r="AF77" i="8"/>
  <c r="AF76" i="8"/>
  <c r="AF75" i="8"/>
  <c r="AF74" i="8"/>
  <c r="AF73" i="8"/>
  <c r="AF72" i="8"/>
  <c r="AF71" i="8"/>
  <c r="AF69" i="8"/>
  <c r="AF65" i="8"/>
  <c r="AF64" i="8"/>
  <c r="AF61" i="8"/>
  <c r="AF59" i="8"/>
  <c r="AF58" i="8"/>
  <c r="AF57" i="8"/>
  <c r="AF56" i="8"/>
  <c r="AF55" i="8"/>
  <c r="AF53" i="8"/>
  <c r="AF52" i="8"/>
  <c r="AF51" i="8"/>
  <c r="AF50" i="8"/>
  <c r="AF49" i="8"/>
  <c r="AF48" i="8"/>
  <c r="AF47" i="8"/>
  <c r="AF46" i="8"/>
  <c r="AF43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D10" i="5"/>
  <c r="AC10" i="5"/>
  <c r="AB10" i="5"/>
  <c r="AA44" i="5"/>
  <c r="AA35" i="5"/>
  <c r="AA29" i="5"/>
  <c r="AA23" i="5"/>
  <c r="AA16" i="5"/>
  <c r="AA10" i="5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Z16" i="5"/>
  <c r="Y16" i="5"/>
  <c r="X16" i="5"/>
  <c r="W16" i="5"/>
  <c r="Z10" i="5"/>
  <c r="Y10" i="5"/>
  <c r="X10" i="5"/>
  <c r="W10" i="5"/>
  <c r="AC17" i="5" l="1"/>
  <c r="AC30" i="5" s="1"/>
  <c r="AC36" i="5" s="1"/>
  <c r="AC40" i="5" s="1"/>
  <c r="AD17" i="5"/>
  <c r="AD30" i="5" s="1"/>
  <c r="AD36" i="5" s="1"/>
  <c r="AD40" i="5" s="1"/>
  <c r="W17" i="5"/>
  <c r="W30" i="5" s="1"/>
  <c r="W36" i="5" s="1"/>
  <c r="W40" i="5" s="1"/>
  <c r="X17" i="5"/>
  <c r="X30" i="5" s="1"/>
  <c r="X36" i="5" s="1"/>
  <c r="X40" i="5" s="1"/>
  <c r="AI97" i="8"/>
  <c r="AI105" i="8" s="1"/>
  <c r="AI17" i="5"/>
  <c r="AI30" i="5" s="1"/>
  <c r="AI36" i="5" s="1"/>
  <c r="AI40" i="5" s="1"/>
  <c r="AC84" i="2"/>
  <c r="AC97" i="2" s="1"/>
  <c r="AC46" i="2"/>
  <c r="AG17" i="5"/>
  <c r="AG30" i="5" s="1"/>
  <c r="AG36" i="5" s="1"/>
  <c r="AG40" i="5" s="1"/>
  <c r="AH66" i="8"/>
  <c r="AH97" i="8" s="1"/>
  <c r="AH105" i="8" s="1"/>
  <c r="AH17" i="5"/>
  <c r="AH30" i="5" s="1"/>
  <c r="AH36" i="5" s="1"/>
  <c r="AH40" i="5" s="1"/>
  <c r="AB84" i="2"/>
  <c r="AB97" i="2" s="1"/>
  <c r="AB46" i="2"/>
  <c r="AB17" i="5"/>
  <c r="AB30" i="5" s="1"/>
  <c r="AB36" i="5" s="1"/>
  <c r="AB40" i="5" s="1"/>
  <c r="AE20" i="10"/>
  <c r="AE37" i="10" s="1"/>
  <c r="AG20" i="10"/>
  <c r="AG37" i="10" s="1"/>
  <c r="AG97" i="8"/>
  <c r="AK84" i="8"/>
  <c r="AK95" i="8"/>
  <c r="AK44" i="8"/>
  <c r="AK62" i="8" s="1"/>
  <c r="AK66" i="8" s="1"/>
  <c r="AA17" i="5"/>
  <c r="AA30" i="5" s="1"/>
  <c r="AA36" i="5" s="1"/>
  <c r="AA40" i="5" s="1"/>
  <c r="Y17" i="5"/>
  <c r="Y30" i="5" s="1"/>
  <c r="Y36" i="5" s="1"/>
  <c r="Y40" i="5" s="1"/>
  <c r="AE17" i="5"/>
  <c r="AE30" i="5" s="1"/>
  <c r="AE36" i="5" s="1"/>
  <c r="AE40" i="5" s="1"/>
  <c r="Z17" i="5"/>
  <c r="Z30" i="5" s="1"/>
  <c r="Z36" i="5" s="1"/>
  <c r="Z40" i="5" s="1"/>
  <c r="AA84" i="2"/>
  <c r="AA97" i="2" s="1"/>
  <c r="AA46" i="2"/>
  <c r="AE97" i="8"/>
  <c r="AK97" i="8" l="1"/>
  <c r="Z91" i="2"/>
  <c r="Z95" i="2" s="1"/>
  <c r="Z83" i="2"/>
  <c r="Z66" i="2"/>
  <c r="Z68" i="2" s="1"/>
  <c r="Z36" i="2"/>
  <c r="Z44" i="2" s="1"/>
  <c r="Z18" i="2"/>
  <c r="Z20" i="2" s="1"/>
  <c r="AD20" i="10"/>
  <c r="AD37" i="10" s="1"/>
  <c r="AD95" i="8"/>
  <c r="AD84" i="8"/>
  <c r="AD44" i="8"/>
  <c r="AD62" i="8" s="1"/>
  <c r="AD66" i="8" s="1"/>
  <c r="AC95" i="8"/>
  <c r="AC84" i="8"/>
  <c r="AC44" i="8"/>
  <c r="AC62" i="8" s="1"/>
  <c r="AC66" i="8" s="1"/>
  <c r="Y91" i="2"/>
  <c r="Y95" i="2" s="1"/>
  <c r="Y83" i="2"/>
  <c r="Y66" i="2"/>
  <c r="Y68" i="2" s="1"/>
  <c r="Y36" i="2"/>
  <c r="Y44" i="2" s="1"/>
  <c r="Y18" i="2"/>
  <c r="Y20" i="2" s="1"/>
  <c r="Y84" i="2" l="1"/>
  <c r="Y97" i="2" s="1"/>
  <c r="AD97" i="8"/>
  <c r="Z46" i="2"/>
  <c r="Z84" i="2"/>
  <c r="Z97" i="2" s="1"/>
  <c r="AC97" i="8"/>
  <c r="AC105" i="8" s="1"/>
  <c r="AD104" i="8" s="1"/>
  <c r="Y46" i="2"/>
  <c r="AD105" i="8" l="1"/>
  <c r="AE104" i="8" s="1"/>
  <c r="AE105" i="8" s="1"/>
  <c r="AC20" i="10"/>
  <c r="AC37" i="10" s="1"/>
  <c r="AF104" i="8"/>
  <c r="AF84" i="8"/>
  <c r="X91" i="2"/>
  <c r="X95" i="2" s="1"/>
  <c r="X83" i="2"/>
  <c r="X66" i="2"/>
  <c r="X68" i="2" s="1"/>
  <c r="X36" i="2"/>
  <c r="X44" i="2" s="1"/>
  <c r="X18" i="2"/>
  <c r="X20" i="2" s="1"/>
  <c r="X84" i="2" l="1"/>
  <c r="X97" i="2"/>
  <c r="X46" i="2"/>
  <c r="AF95" i="8"/>
  <c r="AF44" i="8"/>
  <c r="AF62" i="8" s="1"/>
  <c r="AF66" i="8" s="1"/>
  <c r="AB20" i="10" l="1"/>
  <c r="AB37" i="10" s="1"/>
  <c r="AB95" i="8"/>
  <c r="AB84" i="8"/>
  <c r="AB44" i="8"/>
  <c r="AB62" i="8" s="1"/>
  <c r="AB66" i="8" s="1"/>
  <c r="W91" i="2"/>
  <c r="W95" i="2" s="1"/>
  <c r="W83" i="2"/>
  <c r="W66" i="2"/>
  <c r="W68" i="2" s="1"/>
  <c r="W36" i="2"/>
  <c r="W44" i="2" s="1"/>
  <c r="W18" i="2"/>
  <c r="W20" i="2" s="1"/>
  <c r="W46" i="2" l="1"/>
  <c r="AB97" i="8"/>
  <c r="W84" i="2"/>
  <c r="W97" i="2" s="1"/>
  <c r="AA20" i="10"/>
  <c r="AA37" i="10" s="1"/>
  <c r="Z20" i="10"/>
  <c r="Z37" i="10" s="1"/>
  <c r="AA95" i="8"/>
  <c r="Z95" i="8"/>
  <c r="AA84" i="8"/>
  <c r="Z84" i="8"/>
  <c r="AA44" i="8"/>
  <c r="AA62" i="8" s="1"/>
  <c r="AA66" i="8" s="1"/>
  <c r="Z44" i="8"/>
  <c r="Z62" i="8" s="1"/>
  <c r="Z66" i="8" s="1"/>
  <c r="V18" i="2"/>
  <c r="V20" i="2" s="1"/>
  <c r="V91" i="2"/>
  <c r="V95" i="2" s="1"/>
  <c r="V83" i="2"/>
  <c r="V66" i="2"/>
  <c r="V68" i="2" s="1"/>
  <c r="V36" i="2"/>
  <c r="V44" i="2" s="1"/>
  <c r="Y20" i="10"/>
  <c r="Y37" i="10" s="1"/>
  <c r="Y95" i="8"/>
  <c r="Y84" i="8"/>
  <c r="Y44" i="8"/>
  <c r="Y62" i="8" s="1"/>
  <c r="Y66" i="8" s="1"/>
  <c r="AB105" i="8" l="1"/>
  <c r="AF97" i="8"/>
  <c r="AA97" i="8"/>
  <c r="AA105" i="8" s="1"/>
  <c r="Z97" i="8"/>
  <c r="Z105" i="8" s="1"/>
  <c r="V84" i="2"/>
  <c r="V97" i="2" s="1"/>
  <c r="V46" i="2"/>
  <c r="Y97" i="8"/>
  <c r="Y105" i="8" s="1"/>
  <c r="AF105" i="8" l="1"/>
  <c r="AG105" i="8" s="1"/>
  <c r="AK105" i="8"/>
  <c r="U91" i="2"/>
  <c r="U95" i="2" s="1"/>
  <c r="U83" i="2"/>
  <c r="U66" i="2"/>
  <c r="U68" i="2" s="1"/>
  <c r="U36" i="2"/>
  <c r="U44" i="2" s="1"/>
  <c r="U18" i="2"/>
  <c r="U20" i="2" s="1"/>
  <c r="U84" i="2" l="1"/>
  <c r="U97" i="2" s="1"/>
  <c r="U46" i="2"/>
  <c r="X20" i="10"/>
  <c r="X37" i="10" s="1"/>
  <c r="X95" i="8"/>
  <c r="X84" i="8"/>
  <c r="X44" i="8"/>
  <c r="X62" i="8" s="1"/>
  <c r="X66" i="8" s="1"/>
  <c r="P59" i="8"/>
  <c r="K59" i="8"/>
  <c r="F59" i="8"/>
  <c r="X97" i="8" l="1"/>
  <c r="X105" i="8" s="1"/>
  <c r="T91" i="2"/>
  <c r="T95" i="2" s="1"/>
  <c r="T83" i="2"/>
  <c r="T66" i="2"/>
  <c r="T68" i="2" s="1"/>
  <c r="T36" i="2"/>
  <c r="T44" i="2" s="1"/>
  <c r="T18" i="2"/>
  <c r="T20" i="2" s="1"/>
  <c r="T84" i="2" l="1"/>
  <c r="T97" i="2" s="1"/>
  <c r="T46" i="2"/>
  <c r="R95" i="8"/>
  <c r="R84" i="8"/>
  <c r="R44" i="8"/>
  <c r="R62" i="8" s="1"/>
  <c r="R66" i="8" s="1"/>
  <c r="R97" i="8" l="1"/>
  <c r="R105" i="8" s="1"/>
  <c r="W20" i="10" l="1"/>
  <c r="W37" i="10" s="1"/>
  <c r="W95" i="8"/>
  <c r="W84" i="8"/>
  <c r="W44" i="8"/>
  <c r="W62" i="8" s="1"/>
  <c r="W66" i="8" s="1"/>
  <c r="F43" i="8"/>
  <c r="K43" i="8"/>
  <c r="P43" i="8"/>
  <c r="V44" i="8"/>
  <c r="T44" i="8"/>
  <c r="S44" i="8"/>
  <c r="Q44" i="8"/>
  <c r="M44" i="8"/>
  <c r="H44" i="8"/>
  <c r="C44" i="8"/>
  <c r="W97" i="8" l="1"/>
  <c r="W105" i="8" s="1"/>
  <c r="S91" i="2"/>
  <c r="S95" i="2" s="1"/>
  <c r="S83" i="2"/>
  <c r="S66" i="2"/>
  <c r="S68" i="2" s="1"/>
  <c r="S36" i="2"/>
  <c r="S44" i="2" s="1"/>
  <c r="S18" i="2"/>
  <c r="S20" i="2" s="1"/>
  <c r="S46" i="2" l="1"/>
  <c r="S84" i="2"/>
  <c r="S97" i="2" s="1"/>
  <c r="V20" i="10"/>
  <c r="V37" i="10" s="1"/>
  <c r="U20" i="10"/>
  <c r="U37" i="10" s="1"/>
  <c r="Q20" i="10"/>
  <c r="Q37" i="10" s="1"/>
  <c r="V95" i="8"/>
  <c r="V84" i="8"/>
  <c r="V62" i="8"/>
  <c r="V66" i="8" s="1"/>
  <c r="Q101" i="8"/>
  <c r="Q94" i="8"/>
  <c r="Q95" i="8" s="1"/>
  <c r="Q84" i="8"/>
  <c r="Q62" i="8"/>
  <c r="Q66" i="8" s="1"/>
  <c r="P82" i="8"/>
  <c r="K82" i="8"/>
  <c r="F82" i="8"/>
  <c r="T84" i="8"/>
  <c r="S84" i="8"/>
  <c r="M84" i="8"/>
  <c r="L84" i="8"/>
  <c r="H84" i="8"/>
  <c r="C84" i="8"/>
  <c r="V44" i="5"/>
  <c r="U43" i="5"/>
  <c r="U42" i="5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91" i="2"/>
  <c r="N95" i="2" s="1"/>
  <c r="N83" i="2"/>
  <c r="N66" i="2"/>
  <c r="N68" i="2" s="1"/>
  <c r="N36" i="2"/>
  <c r="N44" i="2" s="1"/>
  <c r="N18" i="2"/>
  <c r="N20" i="2" s="1"/>
  <c r="U44" i="5" l="1"/>
  <c r="U10" i="5"/>
  <c r="Q17" i="5"/>
  <c r="Q30" i="5" s="1"/>
  <c r="Q36" i="5" s="1"/>
  <c r="Q40" i="5" s="1"/>
  <c r="U16" i="5"/>
  <c r="U17" i="5" s="1"/>
  <c r="N84" i="2"/>
  <c r="N97" i="2" s="1"/>
  <c r="V17" i="5"/>
  <c r="V30" i="5" s="1"/>
  <c r="V36" i="5" s="1"/>
  <c r="V40" i="5" s="1"/>
  <c r="U23" i="5"/>
  <c r="U29" i="5"/>
  <c r="U35" i="5"/>
  <c r="N46" i="2"/>
  <c r="V97" i="8"/>
  <c r="U44" i="8"/>
  <c r="U62" i="8" s="1"/>
  <c r="Q97" i="8"/>
  <c r="Q105" i="8" s="1"/>
  <c r="U30" i="5" l="1"/>
  <c r="U36" i="5" s="1"/>
  <c r="U40" i="5" s="1"/>
  <c r="V105" i="8"/>
  <c r="O20" i="8" l="1"/>
  <c r="O25" i="8" l="1"/>
  <c r="O24" i="8"/>
  <c r="O23" i="8"/>
  <c r="O17" i="8"/>
  <c r="O15" i="8"/>
  <c r="O11" i="8"/>
  <c r="O9" i="8"/>
  <c r="T20" i="10" l="1"/>
  <c r="T37" i="10" s="1"/>
  <c r="T95" i="8"/>
  <c r="T62" i="8"/>
  <c r="T66" i="8" s="1"/>
  <c r="T44" i="5"/>
  <c r="T35" i="5"/>
  <c r="T29" i="5"/>
  <c r="T23" i="5"/>
  <c r="T16" i="5"/>
  <c r="T10" i="5"/>
  <c r="Q91" i="2"/>
  <c r="Q95" i="2" s="1"/>
  <c r="Q83" i="2"/>
  <c r="Q66" i="2"/>
  <c r="Q68" i="2" s="1"/>
  <c r="Q36" i="2"/>
  <c r="Q44" i="2" s="1"/>
  <c r="Q18" i="2"/>
  <c r="Q20" i="2" s="1"/>
  <c r="Q84" i="2" l="1"/>
  <c r="Q97" i="2" s="1"/>
  <c r="T17" i="5"/>
  <c r="T30" i="5" s="1"/>
  <c r="T36" i="5" s="1"/>
  <c r="T40" i="5" s="1"/>
  <c r="T97" i="8"/>
  <c r="T105" i="8" s="1"/>
  <c r="Q46" i="2"/>
  <c r="P91" i="2" l="1"/>
  <c r="P95" i="2" s="1"/>
  <c r="N20" i="10" l="1"/>
  <c r="N37" i="10" l="1"/>
  <c r="S20" i="10" l="1"/>
  <c r="S37" i="10" s="1"/>
  <c r="N61" i="8" l="1"/>
  <c r="O61" i="8" s="1"/>
  <c r="N58" i="8"/>
  <c r="O58" i="8" s="1"/>
  <c r="N57" i="8"/>
  <c r="O57" i="8" s="1"/>
  <c r="N56" i="8"/>
  <c r="O56" i="8" s="1"/>
  <c r="N55" i="8"/>
  <c r="O55" i="8" s="1"/>
  <c r="N53" i="8"/>
  <c r="O53" i="8" s="1"/>
  <c r="N51" i="8"/>
  <c r="O51" i="8" s="1"/>
  <c r="N50" i="8"/>
  <c r="O50" i="8" s="1"/>
  <c r="N49" i="8"/>
  <c r="O49" i="8" s="1"/>
  <c r="N48" i="8"/>
  <c r="O48" i="8" s="1"/>
  <c r="N47" i="8"/>
  <c r="O47" i="8" s="1"/>
  <c r="N46" i="8"/>
  <c r="O46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95" i="8"/>
  <c r="S62" i="8"/>
  <c r="S66" i="8" s="1"/>
  <c r="N43" i="5"/>
  <c r="N28" i="5"/>
  <c r="N22" i="5"/>
  <c r="P83" i="2"/>
  <c r="P66" i="2"/>
  <c r="P68" i="2" s="1"/>
  <c r="P36" i="2"/>
  <c r="P44" i="2" s="1"/>
  <c r="P18" i="2"/>
  <c r="P20" i="2" s="1"/>
  <c r="O22" i="8" l="1"/>
  <c r="N44" i="8"/>
  <c r="P84" i="2"/>
  <c r="P97" i="2" s="1"/>
  <c r="S97" i="8"/>
  <c r="S105" i="8" s="1"/>
  <c r="P46" i="2"/>
  <c r="O44" i="8" l="1"/>
  <c r="O62" i="8" s="1"/>
  <c r="N102" i="8"/>
  <c r="O102" i="8" s="1"/>
  <c r="I102" i="8"/>
  <c r="J102" i="8" s="1"/>
  <c r="D102" i="8"/>
  <c r="E102" i="8" s="1"/>
  <c r="F102" i="8" s="1"/>
  <c r="N101" i="8"/>
  <c r="O101" i="8" s="1"/>
  <c r="P100" i="8"/>
  <c r="K100" i="8"/>
  <c r="P99" i="8"/>
  <c r="K99" i="8"/>
  <c r="D99" i="8"/>
  <c r="M95" i="8"/>
  <c r="L95" i="8"/>
  <c r="H95" i="8"/>
  <c r="G95" i="8"/>
  <c r="C95" i="8"/>
  <c r="N94" i="8"/>
  <c r="O94" i="8" s="1"/>
  <c r="I94" i="8"/>
  <c r="D94" i="8"/>
  <c r="E94" i="8" s="1"/>
  <c r="F94" i="8" s="1"/>
  <c r="N92" i="8"/>
  <c r="N91" i="8"/>
  <c r="O91" i="8" s="1"/>
  <c r="I91" i="8"/>
  <c r="J91" i="8" s="1"/>
  <c r="K91" i="8" s="1"/>
  <c r="D91" i="8"/>
  <c r="E91" i="8" s="1"/>
  <c r="F91" i="8" s="1"/>
  <c r="N88" i="8"/>
  <c r="O88" i="8" s="1"/>
  <c r="I88" i="8"/>
  <c r="D88" i="8"/>
  <c r="E88" i="8" s="1"/>
  <c r="F88" i="8" s="1"/>
  <c r="N87" i="8"/>
  <c r="O87" i="8" s="1"/>
  <c r="I87" i="8"/>
  <c r="D87" i="8"/>
  <c r="N78" i="8"/>
  <c r="I78" i="8"/>
  <c r="J78" i="8" s="1"/>
  <c r="K78" i="8" s="1"/>
  <c r="D78" i="8"/>
  <c r="E78" i="8" s="1"/>
  <c r="N77" i="8"/>
  <c r="O77" i="8" s="1"/>
  <c r="I77" i="8"/>
  <c r="J77" i="8" s="1"/>
  <c r="K77" i="8" s="1"/>
  <c r="D77" i="8"/>
  <c r="E77" i="8" s="1"/>
  <c r="F77" i="8" s="1"/>
  <c r="N76" i="8"/>
  <c r="O76" i="8" s="1"/>
  <c r="I76" i="8"/>
  <c r="G76" i="8"/>
  <c r="D76" i="8"/>
  <c r="P75" i="8"/>
  <c r="N74" i="8"/>
  <c r="I74" i="8"/>
  <c r="J74" i="8" s="1"/>
  <c r="K74" i="8" s="1"/>
  <c r="D74" i="8"/>
  <c r="N73" i="8"/>
  <c r="O73" i="8" s="1"/>
  <c r="I73" i="8"/>
  <c r="J73" i="8" s="1"/>
  <c r="K73" i="8" s="1"/>
  <c r="G73" i="8"/>
  <c r="D73" i="8"/>
  <c r="E73" i="8" s="1"/>
  <c r="P72" i="8"/>
  <c r="K72" i="8"/>
  <c r="P71" i="8"/>
  <c r="K71" i="8"/>
  <c r="N69" i="8"/>
  <c r="I69" i="8"/>
  <c r="D69" i="8"/>
  <c r="N65" i="8"/>
  <c r="O65" i="8" s="1"/>
  <c r="I65" i="8"/>
  <c r="J65" i="8" s="1"/>
  <c r="K65" i="8" s="1"/>
  <c r="D65" i="8"/>
  <c r="N64" i="8"/>
  <c r="O64" i="8" s="1"/>
  <c r="I64" i="8"/>
  <c r="J64" i="8" s="1"/>
  <c r="K64" i="8" s="1"/>
  <c r="D64" i="8"/>
  <c r="H61" i="8"/>
  <c r="I61" i="8" s="1"/>
  <c r="C61" i="8"/>
  <c r="D61" i="8" s="1"/>
  <c r="P58" i="8"/>
  <c r="I58" i="8"/>
  <c r="D58" i="8"/>
  <c r="P57" i="8"/>
  <c r="I57" i="8"/>
  <c r="J57" i="8" s="1"/>
  <c r="K57" i="8" s="1"/>
  <c r="D57" i="8"/>
  <c r="I56" i="8"/>
  <c r="J56" i="8" s="1"/>
  <c r="K56" i="8" s="1"/>
  <c r="G56" i="8"/>
  <c r="D56" i="8"/>
  <c r="E56" i="8" s="1"/>
  <c r="P55" i="8"/>
  <c r="I55" i="8"/>
  <c r="D55" i="8"/>
  <c r="P53" i="8"/>
  <c r="I53" i="8"/>
  <c r="J53" i="8" s="1"/>
  <c r="K53" i="8" s="1"/>
  <c r="D53" i="8"/>
  <c r="I51" i="8"/>
  <c r="J51" i="8" s="1"/>
  <c r="K51" i="8" s="1"/>
  <c r="D51" i="8"/>
  <c r="E51" i="8" s="1"/>
  <c r="F51" i="8" s="1"/>
  <c r="I50" i="8"/>
  <c r="D50" i="8"/>
  <c r="E50" i="8" s="1"/>
  <c r="F50" i="8" s="1"/>
  <c r="P49" i="8"/>
  <c r="I49" i="8"/>
  <c r="D49" i="8"/>
  <c r="P48" i="8"/>
  <c r="I48" i="8"/>
  <c r="J48" i="8" s="1"/>
  <c r="K48" i="8" s="1"/>
  <c r="D48" i="8"/>
  <c r="I47" i="8"/>
  <c r="J47" i="8" s="1"/>
  <c r="K47" i="8" s="1"/>
  <c r="D47" i="8"/>
  <c r="E47" i="8" s="1"/>
  <c r="F47" i="8" s="1"/>
  <c r="I46" i="8"/>
  <c r="D46" i="8"/>
  <c r="E46" i="8" s="1"/>
  <c r="U66" i="8"/>
  <c r="U97" i="8" s="1"/>
  <c r="U105" i="8" s="1"/>
  <c r="M62" i="8"/>
  <c r="M66" i="8" s="1"/>
  <c r="C62" i="8"/>
  <c r="C66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4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7" i="10" s="1"/>
  <c r="O20" i="10"/>
  <c r="O37" i="10" s="1"/>
  <c r="L20" i="10"/>
  <c r="L37" i="10" s="1"/>
  <c r="K20" i="10"/>
  <c r="K37" i="10" s="1"/>
  <c r="G20" i="10"/>
  <c r="G37" i="10" s="1"/>
  <c r="F20" i="10"/>
  <c r="F37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7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91" i="2"/>
  <c r="O95" i="2" s="1"/>
  <c r="M91" i="2"/>
  <c r="M95" i="2" s="1"/>
  <c r="L91" i="2"/>
  <c r="L95" i="2" s="1"/>
  <c r="K91" i="2"/>
  <c r="K95" i="2" s="1"/>
  <c r="J91" i="2"/>
  <c r="J95" i="2" s="1"/>
  <c r="I91" i="2"/>
  <c r="I95" i="2" s="1"/>
  <c r="H91" i="2"/>
  <c r="H95" i="2" s="1"/>
  <c r="G91" i="2"/>
  <c r="G95" i="2" s="1"/>
  <c r="F91" i="2"/>
  <c r="F95" i="2" s="1"/>
  <c r="E91" i="2"/>
  <c r="E95" i="2" s="1"/>
  <c r="D91" i="2"/>
  <c r="D95" i="2" s="1"/>
  <c r="C91" i="2"/>
  <c r="C95" i="2" s="1"/>
  <c r="O83" i="2"/>
  <c r="M83" i="2"/>
  <c r="L83" i="2"/>
  <c r="K83" i="2"/>
  <c r="J83" i="2"/>
  <c r="I83" i="2"/>
  <c r="H83" i="2"/>
  <c r="G83" i="2"/>
  <c r="F83" i="2"/>
  <c r="E83" i="2"/>
  <c r="D83" i="2"/>
  <c r="C83" i="2"/>
  <c r="O66" i="2"/>
  <c r="O68" i="2" s="1"/>
  <c r="M66" i="2"/>
  <c r="M68" i="2" s="1"/>
  <c r="L66" i="2"/>
  <c r="L68" i="2" s="1"/>
  <c r="K66" i="2"/>
  <c r="K68" i="2" s="1"/>
  <c r="J66" i="2"/>
  <c r="J68" i="2" s="1"/>
  <c r="I66" i="2"/>
  <c r="I68" i="2" s="1"/>
  <c r="H66" i="2"/>
  <c r="H68" i="2" s="1"/>
  <c r="G66" i="2"/>
  <c r="G68" i="2" s="1"/>
  <c r="F66" i="2"/>
  <c r="F68" i="2" s="1"/>
  <c r="E66" i="2"/>
  <c r="E68" i="2" s="1"/>
  <c r="D66" i="2"/>
  <c r="D68" i="2" s="1"/>
  <c r="C66" i="2"/>
  <c r="C68" i="2" s="1"/>
  <c r="O36" i="2"/>
  <c r="O44" i="2" s="1"/>
  <c r="M36" i="2"/>
  <c r="M44" i="2" s="1"/>
  <c r="L36" i="2"/>
  <c r="L44" i="2" s="1"/>
  <c r="K36" i="2"/>
  <c r="K44" i="2" s="1"/>
  <c r="J36" i="2"/>
  <c r="J44" i="2" s="1"/>
  <c r="I36" i="2"/>
  <c r="I44" i="2" s="1"/>
  <c r="H36" i="2"/>
  <c r="H44" i="2" s="1"/>
  <c r="G36" i="2"/>
  <c r="G44" i="2" s="1"/>
  <c r="F36" i="2"/>
  <c r="F44" i="2" s="1"/>
  <c r="E36" i="2"/>
  <c r="E44" i="2" s="1"/>
  <c r="D36" i="2"/>
  <c r="D44" i="2" s="1"/>
  <c r="C36" i="2"/>
  <c r="C44" i="2" s="1"/>
  <c r="O18" i="2"/>
  <c r="O20" i="2" s="1"/>
  <c r="M18" i="2"/>
  <c r="M20" i="2" s="1"/>
  <c r="L18" i="2"/>
  <c r="L20" i="2" s="1"/>
  <c r="K18" i="2"/>
  <c r="K20" i="2" s="1"/>
  <c r="J18" i="2"/>
  <c r="J20" i="2" s="1"/>
  <c r="I18" i="2"/>
  <c r="I20" i="2" s="1"/>
  <c r="I46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I84" i="2" l="1"/>
  <c r="I97" i="2" s="1"/>
  <c r="C17" i="5"/>
  <c r="C30" i="5" s="1"/>
  <c r="C36" i="5" s="1"/>
  <c r="C40" i="5" s="1"/>
  <c r="I44" i="8"/>
  <c r="I62" i="8" s="1"/>
  <c r="I66" i="8" s="1"/>
  <c r="G46" i="2"/>
  <c r="G84" i="2"/>
  <c r="G97" i="2" s="1"/>
  <c r="O46" i="2"/>
  <c r="O84" i="2"/>
  <c r="O97" i="2" s="1"/>
  <c r="I10" i="5"/>
  <c r="J69" i="8"/>
  <c r="K69" i="8" s="1"/>
  <c r="I84" i="8"/>
  <c r="D84" i="8"/>
  <c r="O69" i="8"/>
  <c r="N84" i="8"/>
  <c r="L44" i="8"/>
  <c r="L62" i="8" s="1"/>
  <c r="L66" i="8" s="1"/>
  <c r="L97" i="8" s="1"/>
  <c r="L105" i="8" s="1"/>
  <c r="K46" i="2"/>
  <c r="C84" i="2"/>
  <c r="C97" i="2" s="1"/>
  <c r="K84" i="2"/>
  <c r="K97" i="2" s="1"/>
  <c r="I23" i="5"/>
  <c r="G84" i="8"/>
  <c r="C46" i="2"/>
  <c r="I44" i="5"/>
  <c r="E46" i="2"/>
  <c r="M46" i="2"/>
  <c r="E84" i="2"/>
  <c r="E97" i="2" s="1"/>
  <c r="M84" i="2"/>
  <c r="M97" i="2" s="1"/>
  <c r="I35" i="5"/>
  <c r="E9" i="8"/>
  <c r="D44" i="8"/>
  <c r="D62" i="8" s="1"/>
  <c r="D66" i="8" s="1"/>
  <c r="E29" i="5"/>
  <c r="D84" i="2"/>
  <c r="D97" i="2" s="1"/>
  <c r="H84" i="2"/>
  <c r="H97" i="2" s="1"/>
  <c r="L84" i="2"/>
  <c r="L97" i="2" s="1"/>
  <c r="I16" i="5"/>
  <c r="D35" i="5"/>
  <c r="O66" i="8"/>
  <c r="I20" i="10"/>
  <c r="I37" i="10" s="1"/>
  <c r="M97" i="8"/>
  <c r="M105" i="8" s="1"/>
  <c r="O74" i="8"/>
  <c r="O78" i="8"/>
  <c r="P78" i="8" s="1"/>
  <c r="L17" i="5"/>
  <c r="L30" i="5" s="1"/>
  <c r="L36" i="5" s="1"/>
  <c r="L40" i="5" s="1"/>
  <c r="D46" i="2"/>
  <c r="F84" i="2"/>
  <c r="F97" i="2" s="1"/>
  <c r="J84" i="2"/>
  <c r="J97" i="2" s="1"/>
  <c r="H17" i="5"/>
  <c r="H30" i="5" s="1"/>
  <c r="H36" i="5" s="1"/>
  <c r="H40" i="5" s="1"/>
  <c r="O92" i="8"/>
  <c r="O95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7" i="10" s="1"/>
  <c r="H20" i="10"/>
  <c r="H37" i="10" s="1"/>
  <c r="J20" i="5"/>
  <c r="K20" i="5" s="1"/>
  <c r="K23" i="5" s="1"/>
  <c r="F46" i="2"/>
  <c r="N10" i="5"/>
  <c r="N16" i="5"/>
  <c r="J46" i="2"/>
  <c r="D10" i="5"/>
  <c r="J29" i="5"/>
  <c r="J33" i="5"/>
  <c r="K33" i="5" s="1"/>
  <c r="E42" i="5"/>
  <c r="F10" i="5"/>
  <c r="C97" i="8"/>
  <c r="C105" i="8" s="1"/>
  <c r="N23" i="5"/>
  <c r="E10" i="5"/>
  <c r="K25" i="5"/>
  <c r="K29" i="5" s="1"/>
  <c r="J20" i="10"/>
  <c r="J37" i="10" s="1"/>
  <c r="F56" i="8"/>
  <c r="K23" i="8"/>
  <c r="P26" i="8"/>
  <c r="E30" i="8"/>
  <c r="F30" i="8" s="1"/>
  <c r="P64" i="8"/>
  <c r="N95" i="8"/>
  <c r="J15" i="8"/>
  <c r="K15" i="8" s="1"/>
  <c r="P20" i="8"/>
  <c r="J24" i="8"/>
  <c r="K24" i="8" s="1"/>
  <c r="K27" i="8"/>
  <c r="P30" i="8"/>
  <c r="P33" i="8"/>
  <c r="F37" i="8"/>
  <c r="P65" i="8"/>
  <c r="P87" i="8"/>
  <c r="N62" i="8"/>
  <c r="N66" i="8" s="1"/>
  <c r="F73" i="8"/>
  <c r="F78" i="8"/>
  <c r="P11" i="8"/>
  <c r="P17" i="8"/>
  <c r="F22" i="8"/>
  <c r="F23" i="8"/>
  <c r="E24" i="8"/>
  <c r="F24" i="8" s="1"/>
  <c r="J29" i="8"/>
  <c r="K29" i="8" s="1"/>
  <c r="P32" i="8"/>
  <c r="E74" i="8"/>
  <c r="F74" i="8" s="1"/>
  <c r="P76" i="8"/>
  <c r="I95" i="8"/>
  <c r="P101" i="8"/>
  <c r="K102" i="8"/>
  <c r="E99" i="8"/>
  <c r="J87" i="8"/>
  <c r="K87" i="8" s="1"/>
  <c r="P88" i="8"/>
  <c r="P94" i="8"/>
  <c r="D95" i="8"/>
  <c r="E87" i="8"/>
  <c r="E95" i="8" s="1"/>
  <c r="J88" i="8"/>
  <c r="K88" i="8" s="1"/>
  <c r="P91" i="8"/>
  <c r="J94" i="8"/>
  <c r="K94" i="8" s="1"/>
  <c r="E69" i="8"/>
  <c r="P73" i="8"/>
  <c r="E76" i="8"/>
  <c r="F76" i="8" s="1"/>
  <c r="J76" i="8"/>
  <c r="K76" i="8" s="1"/>
  <c r="P77" i="8"/>
  <c r="E64" i="8"/>
  <c r="E65" i="8"/>
  <c r="F65" i="8" s="1"/>
  <c r="E61" i="8"/>
  <c r="F61" i="8" s="1"/>
  <c r="J61" i="8"/>
  <c r="K61" i="8" s="1"/>
  <c r="F46" i="8"/>
  <c r="P46" i="8"/>
  <c r="E48" i="8"/>
  <c r="J49" i="8"/>
  <c r="K49" i="8" s="1"/>
  <c r="P50" i="8"/>
  <c r="E53" i="8"/>
  <c r="F53" i="8" s="1"/>
  <c r="J55" i="8"/>
  <c r="K55" i="8" s="1"/>
  <c r="E57" i="8"/>
  <c r="F57" i="8" s="1"/>
  <c r="J58" i="8"/>
  <c r="K58" i="8" s="1"/>
  <c r="J46" i="8"/>
  <c r="P47" i="8"/>
  <c r="E49" i="8"/>
  <c r="F49" i="8" s="1"/>
  <c r="J50" i="8"/>
  <c r="K50" i="8" s="1"/>
  <c r="P51" i="8"/>
  <c r="E55" i="8"/>
  <c r="F55" i="8" s="1"/>
  <c r="P56" i="8"/>
  <c r="E58" i="8"/>
  <c r="F58" i="8" s="1"/>
  <c r="H62" i="8"/>
  <c r="H66" i="8" s="1"/>
  <c r="H97" i="8" s="1"/>
  <c r="H105" i="8" s="1"/>
  <c r="P61" i="8"/>
  <c r="G62" i="8"/>
  <c r="G66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J11" i="8"/>
  <c r="K11" i="8" s="1"/>
  <c r="E11" i="8"/>
  <c r="F11" i="8" s="1"/>
  <c r="J9" i="8"/>
  <c r="P9" i="8"/>
  <c r="E20" i="10"/>
  <c r="E37" i="10" s="1"/>
  <c r="D20" i="10"/>
  <c r="D37" i="10" s="1"/>
  <c r="J16" i="5"/>
  <c r="F13" i="5"/>
  <c r="F16" i="5" s="1"/>
  <c r="E16" i="5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6" i="2"/>
  <c r="L46" i="2"/>
  <c r="E17" i="5" l="1"/>
  <c r="D17" i="5"/>
  <c r="E84" i="8"/>
  <c r="K9" i="8"/>
  <c r="K44" i="8" s="1"/>
  <c r="J44" i="8"/>
  <c r="J62" i="8" s="1"/>
  <c r="J66" i="8" s="1"/>
  <c r="F9" i="8"/>
  <c r="E44" i="8"/>
  <c r="E62" i="8" s="1"/>
  <c r="E66" i="8" s="1"/>
  <c r="O84" i="8"/>
  <c r="O97" i="8" s="1"/>
  <c r="O105" i="8" s="1"/>
  <c r="E30" i="5"/>
  <c r="E36" i="5" s="1"/>
  <c r="E40" i="5" s="1"/>
  <c r="K84" i="8"/>
  <c r="I17" i="5"/>
  <c r="I30" i="5" s="1"/>
  <c r="I36" i="5" s="1"/>
  <c r="I40" i="5" s="1"/>
  <c r="F17" i="5"/>
  <c r="J84" i="8"/>
  <c r="P92" i="8"/>
  <c r="P95" i="8" s="1"/>
  <c r="J23" i="5"/>
  <c r="N17" i="5"/>
  <c r="N30" i="5" s="1"/>
  <c r="N36" i="5" s="1"/>
  <c r="N40" i="5" s="1"/>
  <c r="P74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97" i="8"/>
  <c r="D105" i="8" s="1"/>
  <c r="G97" i="8"/>
  <c r="G105" i="8" s="1"/>
  <c r="N97" i="8"/>
  <c r="N105" i="8" s="1"/>
  <c r="I97" i="8"/>
  <c r="I105" i="8" s="1"/>
  <c r="F99" i="8"/>
  <c r="P102" i="8"/>
  <c r="K95" i="8"/>
  <c r="J95" i="8"/>
  <c r="F87" i="8"/>
  <c r="F95" i="8" s="1"/>
  <c r="F69" i="8"/>
  <c r="F84" i="8" s="1"/>
  <c r="P69" i="8"/>
  <c r="F64" i="8"/>
  <c r="F48" i="8"/>
  <c r="K46" i="8"/>
  <c r="P15" i="8"/>
  <c r="P44" i="8" s="1"/>
  <c r="P62" i="8" s="1"/>
  <c r="P66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4" i="8" l="1"/>
  <c r="F62" i="8" s="1"/>
  <c r="F66" i="8" s="1"/>
  <c r="F97" i="8" s="1"/>
  <c r="F105" i="8" s="1"/>
  <c r="J30" i="5"/>
  <c r="J36" i="5" s="1"/>
  <c r="J40" i="5" s="1"/>
  <c r="E97" i="8"/>
  <c r="E105" i="8" s="1"/>
  <c r="P84" i="8"/>
  <c r="P97" i="8" s="1"/>
  <c r="P105" i="8" s="1"/>
  <c r="J97" i="8"/>
  <c r="J105" i="8" s="1"/>
  <c r="K62" i="8"/>
  <c r="K66" i="8" s="1"/>
  <c r="K97" i="8" s="1"/>
  <c r="K105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<sst xmlns="http://schemas.openxmlformats.org/spreadsheetml/2006/main" count="358" uniqueCount="252">
  <si>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</si>
  <si>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</si>
  <si>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</si>
  <si>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</si>
  <si>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</si>
  <si>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</si>
  <si>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</si>
  <si>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</si>
  <si>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</si>
  <si>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</si>
  <si>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</si>
  <si>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</si>
  <si>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</si>
  <si>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</si>
  <si>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</si>
  <si>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</si>
  <si>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</si>
  <si>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</si>
  <si>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</si>
  <si>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</si>
  <si>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</si>
  <si>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</si>
  <si>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</si>
  <si>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</si>
  <si>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</si>
  <si>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</si>
  <si>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</si>
  <si>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</si>
  <si>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</si>
  <si>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</si>
  <si>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</si>
  <si>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</si>
  <si>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</si>
  <si>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</si>
  <si>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</si>
  <si>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</si>
  <si>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</si>
  <si>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</si>
  <si>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</si>
  <si>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</si>
  <si>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</si>
  <si>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</si>
  <si>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</si>
  <si>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</si>
  <si>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</si>
  <si>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</si>
  <si>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</si>
  <si>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</si>
  <si>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</si>
  <si>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</si>
  <si>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</si>
  <si>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</si>
  <si>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</si>
  <si>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</si>
  <si>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</si>
  <si>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</si>
  <si>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</si>
  <si>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</si>
  <si>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</si>
  <si>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</si>
  <si>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</si>
  <si>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</si>
  <si>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</si>
  <si>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</si>
  <si>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</si>
  <si>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</si>
  <si>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</si>
  <si>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</si>
  <si>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</si>
  <si>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</si>
  <si>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</si>
  <si>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</si>
  <si>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</si>
  <si>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</si>
  <si>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</si>
  <si>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</si>
  <si>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</si>
  <si>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</si>
  <si>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</si>
  <si>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</si>
  <si>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</si>
  <si>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</si>
  <si>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</si>
  <si>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</si>
  <si>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</si>
  <si>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</si>
  <si>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</si>
  <si>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</si>
  <si>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</si>
  <si>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</si>
  <si>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</si>
  <si>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</si>
  <si>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</si>
  <si>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</si>
  <si>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</si>
  <si>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</si>
  <si>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</si>
  <si>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</si>
  <si>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</si>
  <si>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</si>
  <si>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</si>
  <si>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</si>
  <si>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</si>
  <si>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</si>
  <si>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</si>
  <si>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</si>
  <si>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</si>
  <si>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</si>
  <si>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</si>
  <si>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</si>
  <si>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</si>
  <si>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</si>
  <si>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</si>
  <si>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</si>
  <si>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</si>
  <si>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</si>
  <si>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</si>
  <si>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</si>
  <si>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</si>
  <si>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</si>
  <si>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</si>
  <si>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</si>
  <si>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</si>
  <si>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</si>
  <si>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</si>
  <si>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</si>
  <si>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</si>
  <si>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</si>
  <si>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</si>
  <si>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</si>
  <si>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</si>
  <si>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</si>
  <si>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</si>
  <si>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</si>
  <si>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</si>
  <si>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</si>
  <si>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</si>
  <si>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</si>
  <si>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</si>
  <si>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</si>
  <si>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</si>
  <si>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</si>
  <si>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</si>
  <si>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</si>
  <si>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</si>
  <si>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</si>
  <si>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</si>
  <si>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</si>
  <si>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</si>
  <si>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</si>
  <si>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</si>
  <si>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</si>
  <si>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</si>
  <si>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</si>
  <si>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</si>
  <si>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</si>
  <si>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</si>
  <si>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</si>
  <si>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</si>
  <si>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</si>
  <si>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</si>
  <si>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</si>
  <si>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</si>
  <si>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</si>
  <si>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</si>
  <si>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</si>
  <si>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</si>
  <si>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</si>
  <si>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</si>
  <si>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</si>
  <si>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</si>
  <si>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</si>
  <si>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</si>
  <si>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</si>
  <si>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</si>
  <si>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</si>
  <si>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</si>
  <si>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</si>
  <si>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</si>
  <si>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</si>
  <si>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</si>
  <si>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</si>
  <si>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</si>
  <si>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</si>
  <si>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</si>
  <si>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</si>
  <si>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</si>
  <si>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</si>
  <si>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</si>
  <si>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</si>
  <si>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</si>
  <si>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</si>
  <si>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</si>
  <si>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</si>
  <si>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</si>
  <si>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</si>
  <si>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</si>
  <si>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</si>
  <si>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</si>
  <si>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</si>
  <si>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</si>
  <si>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</si>
  <si>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</si>
  <si>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</si>
  <si>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</si>
  <si>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</si>
  <si>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</si>
  <si>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</si>
  <si>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</si>
  <si>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</si>
  <si>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</si>
  <si>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</si>
  <si>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</si>
  <si>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</si>
  <si>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</si>
  <si>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</si>
  <si>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</si>
  <si>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</si>
  <si>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</si>
  <si>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</si>
  <si>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</si>
  <si>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</si>
  <si>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</si>
  <si>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</si>
  <si>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</si>
  <si>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</si>
  <si>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</si>
  <si>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</si>
  <si>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</si>
  <si>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</si>
  <si>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</si>
  <si>
    <r>
      <t xml:space="preserve">Financial instruments - </t>
    </r>
    <r>
      <rPr>
        <i/>
        <sz val="11"/>
        <color theme="2" tint="-0.499984740745262"/>
        <rFont val="Votorantim Sans"/>
      </rPr>
      <t>offtake agreement</t>
    </r>
  </si>
  <si>
    <t>1Q22</t>
  </si>
  <si>
    <t xml:space="preserve">   Financial instruments - offtake agreement</t>
  </si>
  <si>
    <t xml:space="preserve">   Gain from valuation at fair value of assets on loss of control of investee</t>
  </si>
  <si>
    <t xml:space="preserve">   Confirming payables</t>
  </si>
  <si>
    <t xml:space="preserve">   Goodwill paid on the acquisition of investments</t>
  </si>
  <si>
    <t xml:space="preserve">   Derivative financial instruments - Offtake agreement</t>
  </si>
  <si>
    <t>2022</t>
  </si>
  <si>
    <t>2Q22</t>
  </si>
  <si>
    <t xml:space="preserve">   Offtake Agreement</t>
  </si>
  <si>
    <t xml:space="preserve">   Mark-to-market of energy futures contracts</t>
  </si>
  <si>
    <t>3Q22</t>
  </si>
  <si>
    <t>Profit for the period</t>
  </si>
  <si>
    <t>4Q22</t>
  </si>
  <si>
    <t xml:space="preserve">   Gain from valuation at fair value of assets on business combination</t>
  </si>
  <si>
    <t xml:space="preserve">   Adjustment of fair value of assets held for sale</t>
  </si>
  <si>
    <t>1Q23</t>
  </si>
  <si>
    <t>2Q23</t>
  </si>
  <si>
    <t>Acquisition of investments</t>
  </si>
  <si>
    <t>3Q23</t>
  </si>
  <si>
    <t xml:space="preserve">   Settlement of loans and 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</si>
</sst>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3" x14ac:knownFonts="1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i/>
      <sz val="11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4676" cy="6885677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428146</xdr:colOff>
      <xdr:row>13</xdr:row>
      <xdr:rowOff>113940</xdr:rowOff>
    </xdr:from>
    <xdr:to>
      <xdr:col>9</xdr:col>
      <xdr:colOff>503507</xdr:colOff>
      <xdr:row>18</xdr:row>
      <xdr:rowOff>178048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04496" y="2466615"/>
          <a:ext cx="4542586" cy="968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3Q23</a:t>
          </a:r>
        </a:p>
      </xdr:txBody>
    </xdr:sp>
    <xdr:clientData/>
  </xdr:twoCellAnchor>
  <xdr:twoCellAnchor>
    <xdr:from>
      <xdr:col>9</xdr:col>
      <xdr:colOff>500332</xdr:colOff>
      <xdr:row>14</xdr:row>
      <xdr:rowOff>8623</xdr:rowOff>
    </xdr:from>
    <xdr:to>
      <xdr:col>9</xdr:col>
      <xdr:colOff>500332</xdr:colOff>
      <xdr:row>19</xdr:row>
      <xdr:rowOff>25875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167887" y="2544789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2616200</xdr:colOff>
      <xdr:row>3</xdr:row>
      <xdr:rowOff>376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2597150</xdr:colOff>
      <xdr:row>2</xdr:row>
      <xdr:rowOff>160620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2600325</xdr:colOff>
      <xdr:row>2</xdr:row>
      <xdr:rowOff>163795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2600325</xdr:colOff>
      <xdr:row>2</xdr:row>
      <xdr:rowOff>163795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zoomScaleNormal="100" workbookViewId="0"/>
  </sheetViews>
  <sheetFormatPr defaultColWidth="0" defaultRowHeight="14.5" zeroHeight="1" x14ac:dyDescent="0.35"/>
  <cols>
    <col min="1" max="10" width="9.08984375" customWidth="1"/>
    <col min="11" max="12" width="0" hidden="1" customWidth="1"/>
    <col min="13" max="16384" width="9.08984375" hidden="1"/>
  </cols>
  <sheetData>
    <row r="1" x14ac:dyDescent="0.35"/>
    <row r="2" x14ac:dyDescent="0.35"/>
    <row r="3" x14ac:dyDescent="0.35"/>
    <row r="4" x14ac:dyDescent="0.35"/>
    <row r="5" x14ac:dyDescent="0.35"/>
    <row r="6" x14ac:dyDescent="0.35"/>
    <row r="7" x14ac:dyDescent="0.35"/>
    <row r="8" x14ac:dyDescent="0.35"/>
    <row r="9" x14ac:dyDescent="0.35"/>
    <row r="10" x14ac:dyDescent="0.35"/>
    <row r="11" x14ac:dyDescent="0.35"/>
    <row r="12" x14ac:dyDescent="0.35"/>
    <row r="13" x14ac:dyDescent="0.35"/>
    <row r="14" x14ac:dyDescent="0.35"/>
    <row r="15" x14ac:dyDescent="0.35"/>
    <row r="16" x14ac:dyDescent="0.35"/>
    <row r="17" x14ac:dyDescent="0.35"/>
    <row r="18" x14ac:dyDescent="0.35"/>
    <row r="19" x14ac:dyDescent="0.35"/>
    <row r="20" x14ac:dyDescent="0.35"/>
    <row r="21" x14ac:dyDescent="0.35"/>
    <row r="22" x14ac:dyDescent="0.35"/>
    <row r="23" x14ac:dyDescent="0.35"/>
    <row r="24" x14ac:dyDescent="0.35"/>
    <row r="25" x14ac:dyDescent="0.35"/>
    <row r="26" x14ac:dyDescent="0.35"/>
    <row r="27" x14ac:dyDescent="0.35"/>
    <row r="28" x14ac:dyDescent="0.35"/>
    <row r="29" x14ac:dyDescent="0.35"/>
    <row r="30" x14ac:dyDescent="0.35"/>
    <row r="31" x14ac:dyDescent="0.35"/>
    <row r="32" x14ac:dyDescent="0.35"/>
    <row r="33" spans="1:10" x14ac:dyDescent="0.35"/>
    <row r="34" spans="1:10" x14ac:dyDescent="0.35"/>
    <row r="35" spans="1:10" x14ac:dyDescent="0.35"/>
    <row r="36" spans="1:10" x14ac:dyDescent="0.35"/>
    <row r="37" spans="1:10" x14ac:dyDescent="0.35"/>
    <row r="38" spans="1:10" x14ac:dyDescent="0.35"/>
    <row r="39" spans="1:10" ht="18" customHeight="1" x14ac:dyDescent="0.35">
      <c r="A39" s="110" t="s">
        <v>163</v>
      </c>
      <c r="B39" s="110"/>
      <c r="C39" s="110"/>
      <c r="D39" s="110"/>
      <c r="E39" s="110"/>
      <c r="F39" s="110"/>
      <c r="G39" s="110"/>
      <c r="H39" s="110"/>
      <c r="I39" s="110"/>
      <c r="J39" s="110"/>
    </row>
    <row r="40" spans="1:10" ht="5.25" hidden="1" customHeight="1" x14ac:dyDescent="0.35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H124"/>
  <sheetViews>
    <sheetView showGridLines="0" tabSelected="1" zoomScale="85" zoomScaleNormal="85" workbookViewId="0">
      <pane xSplit="2" ySplit="6" topLeftCell="AG7" activePane="bottomRight" state="frozen"/>
      <selection activeCell="A39" sqref="A39:J39"/>
      <selection pane="topRight" activeCell="A39" sqref="A39:J39"/>
      <selection pane="bottomLeft" activeCell="A39" sqref="A39:J39"/>
      <selection pane="bottomRight" activeCell="AG24" sqref="AG24"/>
    </sheetView>
  </sheetViews>
  <sheetFormatPr defaultRowHeight="14.5" x14ac:dyDescent="0.35"/>
  <cols>
    <col min="1" max="1" width="3.36328125" customWidth="1"/>
    <col min="2" max="2" width="61.36328125" bestFit="1" customWidth="1"/>
    <col min="3" max="33" width="18" customWidth="1"/>
    <col min="34" max="34" width="12" bestFit="1" customWidth="1"/>
  </cols>
  <sheetData>
    <row r="4" spans="2:33" ht="15" customHeight="1" x14ac:dyDescent="0.35">
      <c r="B4" s="3"/>
      <c r="C4" s="112" t="s">
        <v>0</v>
      </c>
      <c r="D4" s="112"/>
      <c r="E4" s="112"/>
      <c r="F4" s="112"/>
      <c r="G4" s="113" t="s">
        <v>1</v>
      </c>
      <c r="H4" s="112"/>
      <c r="I4" s="112"/>
      <c r="J4" s="112"/>
      <c r="K4" s="113" t="s">
        <v>2</v>
      </c>
      <c r="L4" s="112"/>
      <c r="M4" s="112"/>
      <c r="N4" s="112"/>
      <c r="O4" s="113" t="s">
        <v>180</v>
      </c>
      <c r="P4" s="112"/>
      <c r="Q4" s="112"/>
      <c r="R4" s="112"/>
      <c r="S4" s="111">
        <v>2020</v>
      </c>
      <c r="T4" s="111"/>
      <c r="U4" s="111"/>
      <c r="V4" s="111"/>
      <c r="W4" s="111">
        <v>2021</v>
      </c>
      <c r="X4" s="111"/>
      <c r="Y4" s="111"/>
      <c r="Z4" s="111"/>
      <c r="AA4" s="111">
        <v>2022</v>
      </c>
      <c r="AB4" s="111"/>
      <c r="AC4" s="111"/>
      <c r="AD4" s="111"/>
      <c r="AE4" s="111">
        <v>2023</v>
      </c>
      <c r="AF4" s="111"/>
      <c r="AG4" s="109"/>
    </row>
    <row r="5" spans="2:33" ht="15.5" x14ac:dyDescent="0.35">
      <c r="B5" s="4" t="s">
        <v>164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09"/>
    </row>
    <row r="6" spans="2:33" ht="15.5" x14ac:dyDescent="0.35">
      <c r="B6" s="4" t="s">
        <v>131</v>
      </c>
      <c r="C6" s="32">
        <v>42460</v>
      </c>
      <c r="D6" s="32">
        <v>42551</v>
      </c>
      <c r="E6" s="32">
        <v>42643</v>
      </c>
      <c r="F6" s="32">
        <v>42735</v>
      </c>
      <c r="G6" s="32">
        <v>42825</v>
      </c>
      <c r="H6" s="32">
        <v>42916</v>
      </c>
      <c r="I6" s="32">
        <v>43008</v>
      </c>
      <c r="J6" s="32">
        <v>43100</v>
      </c>
      <c r="K6" s="32">
        <v>43190</v>
      </c>
      <c r="L6" s="32">
        <v>43281</v>
      </c>
      <c r="M6" s="32">
        <v>43373</v>
      </c>
      <c r="N6" s="32">
        <v>43465</v>
      </c>
      <c r="O6" s="32">
        <v>43555</v>
      </c>
      <c r="P6" s="32">
        <v>43646</v>
      </c>
      <c r="Q6" s="32" t="s">
        <v>178</v>
      </c>
      <c r="R6" s="32">
        <v>43830</v>
      </c>
      <c r="S6" s="32">
        <v>43921</v>
      </c>
      <c r="T6" s="32">
        <v>44012</v>
      </c>
      <c r="U6" s="32">
        <v>44104</v>
      </c>
      <c r="V6" s="32">
        <v>44196</v>
      </c>
      <c r="W6" s="32">
        <v>44286</v>
      </c>
      <c r="X6" s="32">
        <v>44377</v>
      </c>
      <c r="Y6" s="32">
        <v>44469</v>
      </c>
      <c r="Z6" s="32">
        <v>44561</v>
      </c>
      <c r="AA6" s="32">
        <v>44651</v>
      </c>
      <c r="AB6" s="32">
        <v>44742</v>
      </c>
      <c r="AC6" s="32">
        <v>44834</v>
      </c>
      <c r="AD6" s="32">
        <v>44926</v>
      </c>
      <c r="AE6" s="32">
        <v>45016</v>
      </c>
      <c r="AF6" s="32">
        <v>45107</v>
      </c>
      <c r="AG6" s="32">
        <v>45199</v>
      </c>
    </row>
    <row r="7" spans="2:33" ht="15.5" x14ac:dyDescent="0.35">
      <c r="B7" s="5" t="s">
        <v>3</v>
      </c>
    </row>
    <row r="8" spans="2:33" x14ac:dyDescent="0.35">
      <c r="B8" s="1" t="s">
        <v>4</v>
      </c>
    </row>
    <row r="9" spans="2:33" x14ac:dyDescent="0.35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  <c r="AE9" s="7">
        <v>8320</v>
      </c>
      <c r="AF9" s="7">
        <v>8462</v>
      </c>
      <c r="AG9" s="7">
        <v>10348</v>
      </c>
    </row>
    <row r="10" spans="2:33" x14ac:dyDescent="0.35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  <c r="AE10" s="7">
        <v>3144</v>
      </c>
      <c r="AF10" s="7">
        <v>3126</v>
      </c>
      <c r="AG10" s="7">
        <v>2940</v>
      </c>
    </row>
    <row r="11" spans="2:33" x14ac:dyDescent="0.35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4810</v>
      </c>
      <c r="AA11" s="7">
        <f>4704+150</f>
        <v>4854</v>
      </c>
      <c r="AB11" s="7">
        <f>4704+234</f>
        <v>4938</v>
      </c>
      <c r="AC11" s="7">
        <v>5452</v>
      </c>
      <c r="AD11" s="7">
        <v>72</v>
      </c>
      <c r="AE11" s="7">
        <v>291</v>
      </c>
      <c r="AF11" s="7">
        <v>321</v>
      </c>
      <c r="AG11" s="7">
        <v>302</v>
      </c>
    </row>
    <row r="12" spans="2:33" x14ac:dyDescent="0.35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  <c r="AE12" s="7">
        <v>3456</v>
      </c>
      <c r="AF12" s="7">
        <v>3330</v>
      </c>
      <c r="AG12" s="7">
        <v>3606</v>
      </c>
    </row>
    <row r="13" spans="2:33" x14ac:dyDescent="0.35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  <c r="AE13" s="7">
        <v>8525</v>
      </c>
      <c r="AF13" s="7">
        <v>8190</v>
      </c>
      <c r="AG13" s="7">
        <v>7767</v>
      </c>
    </row>
    <row r="14" spans="2:33" x14ac:dyDescent="0.35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  <c r="AE14" s="7">
        <v>1701</v>
      </c>
      <c r="AF14" s="7">
        <v>1582</v>
      </c>
      <c r="AG14" s="7">
        <v>1514</v>
      </c>
    </row>
    <row r="15" spans="2:33" x14ac:dyDescent="0.35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  <c r="AE15" s="7">
        <v>591</v>
      </c>
      <c r="AF15" s="7">
        <v>420</v>
      </c>
      <c r="AG15" s="7">
        <v>382</v>
      </c>
    </row>
    <row r="16" spans="2:33" x14ac:dyDescent="0.35">
      <c r="B16" s="2" t="s">
        <v>204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20</v>
      </c>
      <c r="AG16" s="7">
        <v>22</v>
      </c>
    </row>
    <row r="17" spans="2:34" x14ac:dyDescent="0.35">
      <c r="B17" s="2" t="s">
        <v>12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  <c r="AE17" s="8">
        <v>963</v>
      </c>
      <c r="AF17" s="8">
        <v>887</v>
      </c>
      <c r="AG17" s="114">
        <v>1005</v>
      </c>
    </row>
    <row r="18" spans="2:34" x14ac:dyDescent="0.35">
      <c r="B18" s="2"/>
      <c r="C18" s="7">
        <f t="shared" ref="C18:Q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v>19763</v>
      </c>
      <c r="S18" s="7">
        <f t="shared" ref="S18:AD18" si="1">SUM(S9:S17)</f>
        <v>22327</v>
      </c>
      <c r="T18" s="7">
        <f t="shared" si="1"/>
        <v>24796</v>
      </c>
      <c r="U18" s="7">
        <f t="shared" si="1"/>
        <v>26137</v>
      </c>
      <c r="V18" s="7">
        <f t="shared" si="1"/>
        <v>26411</v>
      </c>
      <c r="W18" s="7">
        <f t="shared" si="1"/>
        <v>28835</v>
      </c>
      <c r="X18" s="7">
        <f t="shared" si="1"/>
        <v>28755</v>
      </c>
      <c r="Y18" s="7">
        <f t="shared" si="1"/>
        <v>32287</v>
      </c>
      <c r="Z18" s="7">
        <f t="shared" si="1"/>
        <v>37271</v>
      </c>
      <c r="AA18" s="7">
        <f t="shared" si="1"/>
        <v>31463</v>
      </c>
      <c r="AB18" s="7">
        <f t="shared" si="1"/>
        <v>35817</v>
      </c>
      <c r="AC18" s="7">
        <f t="shared" si="1"/>
        <v>35051</v>
      </c>
      <c r="AD18" s="7">
        <f t="shared" si="1"/>
        <v>27887</v>
      </c>
      <c r="AE18" s="7">
        <f t="shared" ref="AE18:AF18" si="2">SUM(AE9:AE17)</f>
        <v>26991</v>
      </c>
      <c r="AF18" s="7">
        <f t="shared" si="2"/>
        <v>26338</v>
      </c>
      <c r="AG18" s="7">
        <f t="shared" ref="AG18" si="3">SUM(AG9:AG17)</f>
        <v>27886</v>
      </c>
    </row>
    <row r="19" spans="2:34" x14ac:dyDescent="0.35">
      <c r="B19" s="2" t="s">
        <v>13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/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  <c r="AE19" s="7">
        <v>85</v>
      </c>
      <c r="AF19" s="7">
        <v>220</v>
      </c>
      <c r="AG19" s="7">
        <v>322</v>
      </c>
    </row>
    <row r="20" spans="2:34" s="14" customFormat="1" x14ac:dyDescent="0.35">
      <c r="B20" s="1"/>
      <c r="C20" s="12">
        <f t="shared" ref="C20:O20" si="4">SUM(C18:C19)</f>
        <v>18005</v>
      </c>
      <c r="D20" s="12">
        <f t="shared" si="4"/>
        <v>16887</v>
      </c>
      <c r="E20" s="12">
        <f t="shared" si="4"/>
        <v>17384</v>
      </c>
      <c r="F20" s="12">
        <f t="shared" si="4"/>
        <v>20383</v>
      </c>
      <c r="G20" s="12">
        <f t="shared" si="4"/>
        <v>19226</v>
      </c>
      <c r="H20" s="12">
        <f t="shared" si="4"/>
        <v>20434</v>
      </c>
      <c r="I20" s="12">
        <f t="shared" si="4"/>
        <v>20839</v>
      </c>
      <c r="J20" s="12">
        <f t="shared" si="4"/>
        <v>23179</v>
      </c>
      <c r="K20" s="12">
        <f t="shared" si="4"/>
        <v>25337</v>
      </c>
      <c r="L20" s="12">
        <f t="shared" si="4"/>
        <v>23628</v>
      </c>
      <c r="M20" s="12">
        <f t="shared" si="4"/>
        <v>24413</v>
      </c>
      <c r="N20" s="12">
        <f t="shared" si="4"/>
        <v>24413</v>
      </c>
      <c r="O20" s="12">
        <f t="shared" si="4"/>
        <v>20076</v>
      </c>
      <c r="P20" s="12">
        <f t="shared" ref="P20:T20" si="5">SUM(P18:P19)</f>
        <v>19711</v>
      </c>
      <c r="Q20" s="12">
        <f t="shared" si="5"/>
        <v>19662</v>
      </c>
      <c r="R20" s="12">
        <v>19763</v>
      </c>
      <c r="S20" s="12">
        <f t="shared" si="5"/>
        <v>22327</v>
      </c>
      <c r="T20" s="12">
        <f t="shared" si="5"/>
        <v>24805</v>
      </c>
      <c r="U20" s="12">
        <f t="shared" ref="U20:V20" si="6">SUM(U18:U19)</f>
        <v>26154</v>
      </c>
      <c r="V20" s="12">
        <f t="shared" si="6"/>
        <v>26436</v>
      </c>
      <c r="W20" s="12">
        <f t="shared" ref="W20" si="7">SUM(W18:W19)</f>
        <v>28838</v>
      </c>
      <c r="X20" s="12">
        <f t="shared" ref="X20:Y20" si="8">SUM(X18:X19)</f>
        <v>28758</v>
      </c>
      <c r="Y20" s="12">
        <f t="shared" si="8"/>
        <v>32326</v>
      </c>
      <c r="Z20" s="12">
        <f t="shared" ref="Z20:AA20" si="9">SUM(Z18:Z19)</f>
        <v>38552</v>
      </c>
      <c r="AA20" s="12">
        <f t="shared" si="9"/>
        <v>31493</v>
      </c>
      <c r="AB20" s="12">
        <f t="shared" ref="AB20:AC20" si="10">SUM(AB18:AB19)</f>
        <v>35824</v>
      </c>
      <c r="AC20" s="12">
        <f t="shared" si="10"/>
        <v>35052</v>
      </c>
      <c r="AD20" s="12">
        <f t="shared" ref="AD20:AE20" si="11">SUM(AD18:AD19)</f>
        <v>27972</v>
      </c>
      <c r="AE20" s="12">
        <f t="shared" si="11"/>
        <v>27076</v>
      </c>
      <c r="AF20" s="12">
        <f t="shared" ref="AF20" si="12">SUM(AF18:AF19)</f>
        <v>26558</v>
      </c>
      <c r="AG20" s="12">
        <f t="shared" ref="AG20" si="13">SUM(AG18:AG19)</f>
        <v>28208</v>
      </c>
      <c r="AH20"/>
    </row>
    <row r="21" spans="2:34" x14ac:dyDescent="0.35">
      <c r="B21" s="1" t="s">
        <v>14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2:34" x14ac:dyDescent="0.35">
      <c r="B22" s="2" t="s">
        <v>15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2:34" x14ac:dyDescent="0.35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  <c r="AE23" s="7">
        <v>1120</v>
      </c>
      <c r="AF23" s="7">
        <v>0</v>
      </c>
      <c r="AG23" s="7">
        <v>0</v>
      </c>
    </row>
    <row r="24" spans="2:34" x14ac:dyDescent="0.35">
      <c r="B24" s="28" t="s">
        <v>124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</row>
    <row r="25" spans="2:34" x14ac:dyDescent="0.35">
      <c r="B25" s="28" t="s">
        <v>208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  <c r="AE25" s="7">
        <v>6570</v>
      </c>
      <c r="AF25" s="7">
        <v>7924</v>
      </c>
      <c r="AG25" s="7">
        <v>7800</v>
      </c>
    </row>
    <row r="26" spans="2:34" x14ac:dyDescent="0.35">
      <c r="B26" s="2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>
        <v>28</v>
      </c>
    </row>
    <row r="27" spans="2:34" x14ac:dyDescent="0.35">
      <c r="B27" s="2" t="s">
        <v>7</v>
      </c>
      <c r="C27" s="7">
        <v>280</v>
      </c>
      <c r="D27" s="7">
        <v>426</v>
      </c>
      <c r="E27" s="7">
        <v>429</v>
      </c>
      <c r="F27" s="7">
        <v>232</v>
      </c>
      <c r="G27" s="7">
        <v>136</v>
      </c>
      <c r="H27" s="7">
        <v>215</v>
      </c>
      <c r="I27" s="7">
        <v>118</v>
      </c>
      <c r="J27" s="7">
        <v>138</v>
      </c>
      <c r="K27" s="7">
        <v>149</v>
      </c>
      <c r="L27" s="7">
        <v>302</v>
      </c>
      <c r="M27" s="7">
        <v>380</v>
      </c>
      <c r="N27" s="7">
        <v>256</v>
      </c>
      <c r="O27" s="7">
        <v>162</v>
      </c>
      <c r="P27" s="7">
        <v>534</v>
      </c>
      <c r="Q27" s="7">
        <v>612</v>
      </c>
      <c r="R27" s="7">
        <v>337</v>
      </c>
      <c r="S27" s="7">
        <v>1496</v>
      </c>
      <c r="T27" s="7">
        <v>1359</v>
      </c>
      <c r="U27" s="7">
        <v>1224</v>
      </c>
      <c r="V27" s="7">
        <v>1945</v>
      </c>
      <c r="W27" s="7">
        <v>835</v>
      </c>
      <c r="X27" s="7">
        <v>775</v>
      </c>
      <c r="Y27" s="7">
        <v>996</v>
      </c>
      <c r="Z27" s="7">
        <v>847</v>
      </c>
      <c r="AA27" s="7">
        <v>692</v>
      </c>
      <c r="AB27" s="7">
        <v>822</v>
      </c>
      <c r="AC27" s="7">
        <v>800</v>
      </c>
      <c r="AD27" s="7">
        <v>813</v>
      </c>
      <c r="AE27" s="7">
        <v>782</v>
      </c>
      <c r="AF27" s="7">
        <v>671</v>
      </c>
      <c r="AG27" s="7">
        <v>745</v>
      </c>
    </row>
    <row r="28" spans="2:34" x14ac:dyDescent="0.35">
      <c r="B28" s="2" t="s">
        <v>209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764</v>
      </c>
      <c r="M28" s="7">
        <v>759</v>
      </c>
      <c r="N28" s="7">
        <v>744</v>
      </c>
      <c r="O28" s="7">
        <v>777</v>
      </c>
      <c r="P28" s="7">
        <v>744</v>
      </c>
      <c r="Q28" s="7">
        <v>764</v>
      </c>
      <c r="R28" s="7">
        <v>655</v>
      </c>
      <c r="S28" s="7">
        <v>452</v>
      </c>
      <c r="T28" s="7">
        <v>370</v>
      </c>
      <c r="U28" s="7">
        <v>248</v>
      </c>
      <c r="V28" s="7">
        <v>252</v>
      </c>
      <c r="W28" s="7">
        <v>595</v>
      </c>
      <c r="X28" s="7">
        <v>810</v>
      </c>
      <c r="Y28" s="7">
        <v>911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</row>
    <row r="29" spans="2:34" x14ac:dyDescent="0.35">
      <c r="B29" s="2" t="s">
        <v>10</v>
      </c>
      <c r="C29" s="7">
        <v>1775</v>
      </c>
      <c r="D29" s="7">
        <v>1711</v>
      </c>
      <c r="E29" s="7">
        <v>1732</v>
      </c>
      <c r="F29" s="7">
        <v>1586</v>
      </c>
      <c r="G29" s="7">
        <v>1799</v>
      </c>
      <c r="H29" s="7">
        <v>1771</v>
      </c>
      <c r="I29" s="7">
        <v>1666</v>
      </c>
      <c r="J29" s="7">
        <v>1784</v>
      </c>
      <c r="K29" s="7">
        <v>1746</v>
      </c>
      <c r="L29" s="7">
        <v>1694</v>
      </c>
      <c r="M29" s="7">
        <v>1750</v>
      </c>
      <c r="N29" s="7">
        <v>2731</v>
      </c>
      <c r="O29" s="7">
        <v>3284</v>
      </c>
      <c r="P29" s="7">
        <v>3366</v>
      </c>
      <c r="Q29" s="7">
        <v>3210</v>
      </c>
      <c r="R29" s="7">
        <v>3477</v>
      </c>
      <c r="S29" s="7">
        <v>3368</v>
      </c>
      <c r="T29" s="7">
        <v>3649</v>
      </c>
      <c r="U29" s="7">
        <v>3334</v>
      </c>
      <c r="V29" s="7">
        <v>2966</v>
      </c>
      <c r="W29" s="7">
        <v>2813</v>
      </c>
      <c r="X29" s="7">
        <v>3191</v>
      </c>
      <c r="Y29" s="7">
        <v>2116</v>
      </c>
      <c r="Z29" s="7">
        <v>2033</v>
      </c>
      <c r="AA29" s="7">
        <v>2141</v>
      </c>
      <c r="AB29" s="7">
        <v>2037</v>
      </c>
      <c r="AC29" s="7">
        <v>1878</v>
      </c>
      <c r="AD29" s="7">
        <v>2068</v>
      </c>
      <c r="AE29" s="7">
        <v>1945</v>
      </c>
      <c r="AF29" s="7">
        <v>1994</v>
      </c>
      <c r="AG29" s="7">
        <v>1923</v>
      </c>
    </row>
    <row r="30" spans="2:34" x14ac:dyDescent="0.35">
      <c r="B30" s="2" t="s">
        <v>18</v>
      </c>
      <c r="C30" s="7">
        <v>1076</v>
      </c>
      <c r="D30" s="7">
        <v>1121</v>
      </c>
      <c r="E30" s="7">
        <v>1081</v>
      </c>
      <c r="F30" s="7">
        <v>535</v>
      </c>
      <c r="G30" s="7">
        <v>524</v>
      </c>
      <c r="H30" s="7">
        <v>194</v>
      </c>
      <c r="I30" s="7">
        <v>129</v>
      </c>
      <c r="J30" s="7">
        <v>143</v>
      </c>
      <c r="K30" s="7">
        <v>225</v>
      </c>
      <c r="L30" s="7">
        <v>319</v>
      </c>
      <c r="M30" s="7">
        <v>311</v>
      </c>
      <c r="N30" s="7">
        <v>271</v>
      </c>
      <c r="O30" s="7">
        <v>268</v>
      </c>
      <c r="P30" s="7">
        <v>288</v>
      </c>
      <c r="Q30" s="7">
        <v>379</v>
      </c>
      <c r="R30" s="7">
        <v>229</v>
      </c>
      <c r="S30" s="7">
        <v>247</v>
      </c>
      <c r="T30" s="7">
        <v>255</v>
      </c>
      <c r="U30" s="7">
        <v>220</v>
      </c>
      <c r="V30" s="7">
        <v>196</v>
      </c>
      <c r="W30" s="7">
        <v>212</v>
      </c>
      <c r="X30" s="7">
        <v>179</v>
      </c>
      <c r="Y30" s="7">
        <v>230</v>
      </c>
      <c r="Z30" s="7">
        <v>225</v>
      </c>
      <c r="AA30" s="7">
        <v>241</v>
      </c>
      <c r="AB30" s="7">
        <v>256</v>
      </c>
      <c r="AC30" s="7">
        <v>264</v>
      </c>
      <c r="AD30" s="7">
        <v>239</v>
      </c>
      <c r="AE30" s="7">
        <v>240</v>
      </c>
      <c r="AF30" s="7">
        <v>237</v>
      </c>
      <c r="AG30" s="7">
        <v>237</v>
      </c>
    </row>
    <row r="31" spans="2:34" x14ac:dyDescent="0.35">
      <c r="B31" s="2" t="s">
        <v>17</v>
      </c>
      <c r="C31" s="7">
        <v>3665</v>
      </c>
      <c r="D31" s="7">
        <v>3201</v>
      </c>
      <c r="E31" s="7">
        <v>3370</v>
      </c>
      <c r="F31" s="7">
        <v>4055</v>
      </c>
      <c r="G31" s="7">
        <v>3925</v>
      </c>
      <c r="H31" s="7">
        <v>4196</v>
      </c>
      <c r="I31" s="7">
        <v>4104</v>
      </c>
      <c r="J31" s="7">
        <v>4079</v>
      </c>
      <c r="K31" s="7">
        <v>4012</v>
      </c>
      <c r="L31" s="7">
        <v>4614</v>
      </c>
      <c r="M31" s="7">
        <v>4775</v>
      </c>
      <c r="N31" s="7">
        <v>4079</v>
      </c>
      <c r="O31" s="7">
        <v>2907</v>
      </c>
      <c r="P31" s="7">
        <v>2886</v>
      </c>
      <c r="Q31" s="7">
        <v>3181</v>
      </c>
      <c r="R31" s="7">
        <v>3341</v>
      </c>
      <c r="S31" s="7">
        <v>4109</v>
      </c>
      <c r="T31" s="7">
        <v>4276</v>
      </c>
      <c r="U31" s="7">
        <v>4085</v>
      </c>
      <c r="V31" s="7">
        <v>2731</v>
      </c>
      <c r="W31" s="7">
        <v>2921</v>
      </c>
      <c r="X31" s="7">
        <v>3000</v>
      </c>
      <c r="Y31" s="7">
        <v>3111</v>
      </c>
      <c r="Z31" s="7">
        <v>2696</v>
      </c>
      <c r="AA31" s="7">
        <v>2661</v>
      </c>
      <c r="AB31" s="7">
        <v>2989</v>
      </c>
      <c r="AC31" s="7">
        <v>2384</v>
      </c>
      <c r="AD31" s="7">
        <v>2045</v>
      </c>
      <c r="AE31" s="7">
        <v>2402</v>
      </c>
      <c r="AF31" s="7">
        <v>2414</v>
      </c>
      <c r="AG31" s="7">
        <v>2677</v>
      </c>
    </row>
    <row r="32" spans="2:34" x14ac:dyDescent="0.35">
      <c r="B32" s="2" t="s">
        <v>16</v>
      </c>
      <c r="C32" s="7">
        <v>410</v>
      </c>
      <c r="D32" s="7">
        <v>434</v>
      </c>
      <c r="E32" s="7">
        <v>442</v>
      </c>
      <c r="F32" s="7">
        <v>420</v>
      </c>
      <c r="G32" s="7">
        <v>341</v>
      </c>
      <c r="H32" s="7">
        <v>805</v>
      </c>
      <c r="I32" s="7">
        <v>825</v>
      </c>
      <c r="J32" s="7">
        <v>765</v>
      </c>
      <c r="K32" s="7">
        <v>882</v>
      </c>
      <c r="L32" s="7">
        <v>853</v>
      </c>
      <c r="M32" s="7">
        <v>862</v>
      </c>
      <c r="N32" s="7">
        <v>755</v>
      </c>
      <c r="O32" s="7">
        <v>387</v>
      </c>
      <c r="P32" s="7">
        <v>352</v>
      </c>
      <c r="Q32" s="7">
        <v>363</v>
      </c>
      <c r="R32" s="7">
        <v>345</v>
      </c>
      <c r="S32" s="7">
        <v>323</v>
      </c>
      <c r="T32" s="7">
        <v>231</v>
      </c>
      <c r="U32" s="7">
        <v>236</v>
      </c>
      <c r="V32" s="7">
        <v>193</v>
      </c>
      <c r="W32" s="7">
        <v>198</v>
      </c>
      <c r="X32" s="7">
        <v>197</v>
      </c>
      <c r="Y32" s="7">
        <v>209</v>
      </c>
      <c r="Z32" s="7">
        <v>214</v>
      </c>
      <c r="AA32" s="7">
        <v>219</v>
      </c>
      <c r="AB32" s="7">
        <v>258</v>
      </c>
      <c r="AC32" s="7">
        <v>281</v>
      </c>
      <c r="AD32" s="7">
        <v>346</v>
      </c>
      <c r="AE32" s="7">
        <v>363</v>
      </c>
      <c r="AF32" s="7">
        <v>395</v>
      </c>
      <c r="AG32" s="7">
        <v>374</v>
      </c>
    </row>
    <row r="33" spans="2:34" x14ac:dyDescent="0.35">
      <c r="B33" s="2" t="s">
        <v>204</v>
      </c>
      <c r="C33" s="7">
        <v>578</v>
      </c>
      <c r="D33" s="7">
        <v>579</v>
      </c>
      <c r="E33" s="7">
        <v>435</v>
      </c>
      <c r="F33" s="7">
        <v>371</v>
      </c>
      <c r="G33" s="7">
        <v>220</v>
      </c>
      <c r="H33" s="7">
        <v>155</v>
      </c>
      <c r="I33" s="7">
        <v>127</v>
      </c>
      <c r="J33" s="7">
        <v>154</v>
      </c>
      <c r="K33" s="7">
        <v>100</v>
      </c>
      <c r="L33" s="7">
        <v>72</v>
      </c>
      <c r="M33" s="7">
        <v>36</v>
      </c>
      <c r="N33" s="7">
        <v>0</v>
      </c>
      <c r="O33" s="7">
        <v>0</v>
      </c>
      <c r="P33" s="7">
        <v>0</v>
      </c>
      <c r="Q33" s="7">
        <v>17</v>
      </c>
      <c r="R33" s="7">
        <v>29</v>
      </c>
      <c r="S33" s="7">
        <v>37</v>
      </c>
      <c r="T33" s="7">
        <v>17</v>
      </c>
      <c r="U33" s="7">
        <v>63</v>
      </c>
      <c r="V33" s="7">
        <v>9</v>
      </c>
      <c r="W33" s="7">
        <v>9</v>
      </c>
      <c r="X33" s="7">
        <v>21</v>
      </c>
      <c r="Y33" s="7">
        <v>3</v>
      </c>
      <c r="Z33" s="7">
        <v>2962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30</v>
      </c>
      <c r="AG33" s="7">
        <v>40</v>
      </c>
    </row>
    <row r="34" spans="2:34" x14ac:dyDescent="0.35">
      <c r="B34" s="2" t="s">
        <v>188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140</v>
      </c>
      <c r="S34" s="7"/>
      <c r="T34" s="7">
        <v>336</v>
      </c>
      <c r="U34" s="7">
        <v>400</v>
      </c>
      <c r="V34" s="7">
        <v>149</v>
      </c>
      <c r="W34" s="7">
        <v>276</v>
      </c>
      <c r="X34" s="7">
        <v>251</v>
      </c>
      <c r="Y34" s="7">
        <v>463</v>
      </c>
      <c r="Z34" s="7">
        <v>211</v>
      </c>
      <c r="AA34" s="7">
        <v>287</v>
      </c>
      <c r="AB34" s="7">
        <v>427</v>
      </c>
      <c r="AC34" s="7">
        <v>458</v>
      </c>
      <c r="AD34" s="7">
        <v>218</v>
      </c>
      <c r="AE34" s="7">
        <v>82</v>
      </c>
      <c r="AF34" s="7">
        <v>450</v>
      </c>
      <c r="AG34" s="7">
        <v>449</v>
      </c>
    </row>
    <row r="35" spans="2:34" x14ac:dyDescent="0.35">
      <c r="B35" s="2" t="s">
        <v>12</v>
      </c>
      <c r="C35" s="8">
        <v>648</v>
      </c>
      <c r="D35" s="8">
        <v>748</v>
      </c>
      <c r="E35" s="8">
        <v>784</v>
      </c>
      <c r="F35" s="8">
        <v>858</v>
      </c>
      <c r="G35" s="8">
        <v>697</v>
      </c>
      <c r="H35" s="8">
        <v>883</v>
      </c>
      <c r="I35" s="8">
        <v>734</v>
      </c>
      <c r="J35" s="8">
        <v>667</v>
      </c>
      <c r="K35" s="8">
        <v>738</v>
      </c>
      <c r="L35" s="8">
        <v>746</v>
      </c>
      <c r="M35" s="8">
        <v>671</v>
      </c>
      <c r="N35" s="8">
        <v>685</v>
      </c>
      <c r="O35" s="8">
        <v>799</v>
      </c>
      <c r="P35" s="8">
        <v>792</v>
      </c>
      <c r="Q35" s="8">
        <v>842</v>
      </c>
      <c r="R35" s="8">
        <v>586</v>
      </c>
      <c r="S35" s="8">
        <v>970</v>
      </c>
      <c r="T35" s="8">
        <v>737</v>
      </c>
      <c r="U35" s="8">
        <v>868</v>
      </c>
      <c r="V35" s="8">
        <v>701</v>
      </c>
      <c r="W35" s="8">
        <v>771</v>
      </c>
      <c r="X35" s="8">
        <v>549</v>
      </c>
      <c r="Y35" s="8">
        <v>556</v>
      </c>
      <c r="Z35" s="8">
        <v>705</v>
      </c>
      <c r="AA35" s="8">
        <v>580</v>
      </c>
      <c r="AB35" s="8">
        <v>759</v>
      </c>
      <c r="AC35" s="8">
        <v>729</v>
      </c>
      <c r="AD35" s="8">
        <v>634</v>
      </c>
      <c r="AE35" s="8">
        <v>852</v>
      </c>
      <c r="AF35" s="8">
        <v>612</v>
      </c>
      <c r="AG35" s="8">
        <v>573</v>
      </c>
    </row>
    <row r="36" spans="2:34" s="14" customFormat="1" x14ac:dyDescent="0.35">
      <c r="B36" s="1"/>
      <c r="C36" s="11">
        <f t="shared" ref="C36:O36" si="14">SUM(C23:C35)</f>
        <v>8469</v>
      </c>
      <c r="D36" s="11">
        <f t="shared" si="14"/>
        <v>8258</v>
      </c>
      <c r="E36" s="11">
        <f t="shared" si="14"/>
        <v>8311</v>
      </c>
      <c r="F36" s="11">
        <f t="shared" si="14"/>
        <v>8096</v>
      </c>
      <c r="G36" s="11">
        <f t="shared" si="14"/>
        <v>7682</v>
      </c>
      <c r="H36" s="11">
        <f t="shared" si="14"/>
        <v>8259</v>
      </c>
      <c r="I36" s="11">
        <f t="shared" si="14"/>
        <v>7721</v>
      </c>
      <c r="J36" s="11">
        <f t="shared" si="14"/>
        <v>7755</v>
      </c>
      <c r="K36" s="11">
        <f t="shared" si="14"/>
        <v>7900</v>
      </c>
      <c r="L36" s="11">
        <f t="shared" si="14"/>
        <v>9386</v>
      </c>
      <c r="M36" s="11">
        <f t="shared" si="14"/>
        <v>9566</v>
      </c>
      <c r="N36" s="11">
        <f t="shared" si="14"/>
        <v>9544</v>
      </c>
      <c r="O36" s="11">
        <f t="shared" si="14"/>
        <v>12107</v>
      </c>
      <c r="P36" s="11">
        <f t="shared" ref="P36:T36" si="15">SUM(P23:P35)</f>
        <v>11455</v>
      </c>
      <c r="Q36" s="11">
        <f t="shared" si="15"/>
        <v>11921</v>
      </c>
      <c r="R36" s="11">
        <v>11911</v>
      </c>
      <c r="S36" s="11">
        <f t="shared" si="15"/>
        <v>13934</v>
      </c>
      <c r="T36" s="11">
        <f t="shared" si="15"/>
        <v>14215</v>
      </c>
      <c r="U36" s="11">
        <f t="shared" ref="U36:V36" si="16">SUM(U23:U35)</f>
        <v>14073</v>
      </c>
      <c r="V36" s="11">
        <f t="shared" si="16"/>
        <v>11752</v>
      </c>
      <c r="W36" s="11">
        <f t="shared" ref="W36" si="17">SUM(W23:W35)</f>
        <v>10424</v>
      </c>
      <c r="X36" s="11">
        <f t="shared" ref="X36:Y36" si="18">SUM(X23:X35)</f>
        <v>10641</v>
      </c>
      <c r="Y36" s="11">
        <f t="shared" si="18"/>
        <v>10815</v>
      </c>
      <c r="Z36" s="11">
        <f t="shared" ref="Z36:AA36" si="19">SUM(Z23:Z35)</f>
        <v>12694</v>
      </c>
      <c r="AA36" s="11">
        <f t="shared" si="19"/>
        <v>9762</v>
      </c>
      <c r="AB36" s="11">
        <f t="shared" ref="AB36:AE36" si="20">SUM(AB23:AB35)</f>
        <v>10412</v>
      </c>
      <c r="AC36" s="11">
        <f t="shared" si="20"/>
        <v>7994</v>
      </c>
      <c r="AD36" s="11">
        <f t="shared" si="20"/>
        <v>13359</v>
      </c>
      <c r="AE36" s="11">
        <f t="shared" si="20"/>
        <v>14356</v>
      </c>
      <c r="AF36" s="11">
        <f t="shared" ref="AF36" si="21">SUM(AF23:AF35)</f>
        <v>14727</v>
      </c>
      <c r="AG36" s="11">
        <f>SUM(AG23:AG35)</f>
        <v>14846</v>
      </c>
      <c r="AH36"/>
    </row>
    <row r="37" spans="2:34" x14ac:dyDescent="0.35">
      <c r="B37" s="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2:34" x14ac:dyDescent="0.35">
      <c r="B38" s="2" t="s">
        <v>19</v>
      </c>
      <c r="C38" s="7">
        <v>13063</v>
      </c>
      <c r="D38" s="7">
        <v>12851</v>
      </c>
      <c r="E38" s="7">
        <v>13062</v>
      </c>
      <c r="F38" s="7">
        <v>12949</v>
      </c>
      <c r="G38" s="7">
        <v>13059</v>
      </c>
      <c r="H38" s="7">
        <v>13446</v>
      </c>
      <c r="I38" s="7">
        <v>13575</v>
      </c>
      <c r="J38" s="7">
        <v>13372</v>
      </c>
      <c r="K38" s="7">
        <v>9076</v>
      </c>
      <c r="L38" s="7">
        <v>10105</v>
      </c>
      <c r="M38" s="7">
        <v>10105</v>
      </c>
      <c r="N38" s="7">
        <v>11310</v>
      </c>
      <c r="O38" s="7">
        <v>11102</v>
      </c>
      <c r="P38" s="7">
        <v>11095</v>
      </c>
      <c r="Q38" s="7">
        <v>11347</v>
      </c>
      <c r="R38" s="7">
        <v>11720</v>
      </c>
      <c r="S38" s="7">
        <v>12353</v>
      </c>
      <c r="T38" s="7">
        <v>12465</v>
      </c>
      <c r="U38" s="7">
        <v>12843</v>
      </c>
      <c r="V38" s="7">
        <v>12698</v>
      </c>
      <c r="W38" s="7">
        <v>13197</v>
      </c>
      <c r="X38" s="7">
        <v>13211</v>
      </c>
      <c r="Y38" s="7">
        <v>13646</v>
      </c>
      <c r="Z38" s="7">
        <v>13691</v>
      </c>
      <c r="AA38" s="7">
        <v>15597</v>
      </c>
      <c r="AB38" s="7">
        <v>16178</v>
      </c>
      <c r="AC38" s="7">
        <v>19160</v>
      </c>
      <c r="AD38" s="7">
        <v>20157</v>
      </c>
      <c r="AE38" s="7">
        <v>20369</v>
      </c>
      <c r="AF38" s="7">
        <v>20114</v>
      </c>
      <c r="AG38" s="7">
        <v>20175</v>
      </c>
    </row>
    <row r="39" spans="2:34" x14ac:dyDescent="0.35">
      <c r="B39" s="2" t="s">
        <v>205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58</v>
      </c>
      <c r="Z39" s="7">
        <v>58</v>
      </c>
      <c r="AA39" s="7">
        <v>58</v>
      </c>
      <c r="AB39" s="7">
        <v>58</v>
      </c>
      <c r="AC39" s="7">
        <v>84</v>
      </c>
      <c r="AD39" s="7">
        <v>153</v>
      </c>
      <c r="AE39" s="7">
        <v>220</v>
      </c>
      <c r="AF39" s="7">
        <v>266</v>
      </c>
      <c r="AG39" s="7">
        <v>297</v>
      </c>
    </row>
    <row r="40" spans="2:34" x14ac:dyDescent="0.35">
      <c r="B40" s="2" t="s">
        <v>20</v>
      </c>
      <c r="C40" s="7">
        <v>28524</v>
      </c>
      <c r="D40" s="7">
        <v>27545</v>
      </c>
      <c r="E40" s="7">
        <v>27845</v>
      </c>
      <c r="F40" s="7">
        <v>25091</v>
      </c>
      <c r="G40" s="7">
        <v>24903</v>
      </c>
      <c r="H40" s="7">
        <v>25438</v>
      </c>
      <c r="I40" s="7">
        <v>25161</v>
      </c>
      <c r="J40" s="7">
        <v>25855</v>
      </c>
      <c r="K40" s="7">
        <v>25810</v>
      </c>
      <c r="L40" s="7">
        <v>25629</v>
      </c>
      <c r="M40" s="7">
        <v>26119</v>
      </c>
      <c r="N40" s="7">
        <v>26213</v>
      </c>
      <c r="O40" s="7">
        <v>26058</v>
      </c>
      <c r="P40" s="7">
        <v>26030</v>
      </c>
      <c r="Q40" s="7">
        <v>26681</v>
      </c>
      <c r="R40" s="7">
        <v>27148</v>
      </c>
      <c r="S40" s="7">
        <v>29394</v>
      </c>
      <c r="T40" s="7">
        <v>29832</v>
      </c>
      <c r="U40" s="7">
        <v>30140</v>
      </c>
      <c r="V40" s="7">
        <v>30105</v>
      </c>
      <c r="W40" s="7">
        <v>30924</v>
      </c>
      <c r="X40" s="7">
        <v>31674</v>
      </c>
      <c r="Y40" s="7">
        <v>34053</v>
      </c>
      <c r="Z40" s="7">
        <v>35078</v>
      </c>
      <c r="AA40" s="7">
        <v>32788</v>
      </c>
      <c r="AB40" s="7">
        <v>34427</v>
      </c>
      <c r="AC40" s="7">
        <v>34943</v>
      </c>
      <c r="AD40" s="7">
        <v>35885</v>
      </c>
      <c r="AE40" s="7">
        <v>35940</v>
      </c>
      <c r="AF40" s="7">
        <v>35152</v>
      </c>
      <c r="AG40" s="7">
        <v>36042</v>
      </c>
    </row>
    <row r="41" spans="2:34" x14ac:dyDescent="0.35">
      <c r="B41" s="2" t="s">
        <v>21</v>
      </c>
      <c r="C41" s="7">
        <v>14671</v>
      </c>
      <c r="D41" s="7">
        <v>13482</v>
      </c>
      <c r="E41" s="7">
        <v>13424</v>
      </c>
      <c r="F41" s="7">
        <v>13013</v>
      </c>
      <c r="G41" s="7">
        <v>12577</v>
      </c>
      <c r="H41" s="7">
        <v>13047</v>
      </c>
      <c r="I41" s="7">
        <v>12067</v>
      </c>
      <c r="J41" s="7">
        <v>12443</v>
      </c>
      <c r="K41" s="7">
        <v>12379</v>
      </c>
      <c r="L41" s="7">
        <v>13764</v>
      </c>
      <c r="M41" s="7">
        <v>13852</v>
      </c>
      <c r="N41" s="7">
        <v>13492</v>
      </c>
      <c r="O41" s="7">
        <v>13315</v>
      </c>
      <c r="P41" s="7">
        <v>13030</v>
      </c>
      <c r="Q41" s="7">
        <v>13367</v>
      </c>
      <c r="R41" s="7">
        <v>13283</v>
      </c>
      <c r="S41" s="7">
        <v>14550</v>
      </c>
      <c r="T41" s="7">
        <v>15227</v>
      </c>
      <c r="U41" s="7">
        <v>15444</v>
      </c>
      <c r="V41" s="7">
        <v>14594</v>
      </c>
      <c r="W41" s="7">
        <v>15871</v>
      </c>
      <c r="X41" s="7">
        <v>14413</v>
      </c>
      <c r="Y41" s="7">
        <v>15869</v>
      </c>
      <c r="Z41" s="7">
        <v>16703</v>
      </c>
      <c r="AA41" s="7">
        <v>14162</v>
      </c>
      <c r="AB41" s="7">
        <v>15009</v>
      </c>
      <c r="AC41" s="7">
        <v>15148</v>
      </c>
      <c r="AD41" s="7">
        <v>14538</v>
      </c>
      <c r="AE41" s="7">
        <v>14176</v>
      </c>
      <c r="AF41" s="7">
        <v>13349</v>
      </c>
      <c r="AG41" s="7">
        <v>13523</v>
      </c>
    </row>
    <row r="42" spans="2:34" x14ac:dyDescent="0.35">
      <c r="B42" s="28" t="s">
        <v>210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784</v>
      </c>
      <c r="P42" s="7">
        <v>756</v>
      </c>
      <c r="Q42" s="7">
        <v>884</v>
      </c>
      <c r="R42" s="7">
        <v>813</v>
      </c>
      <c r="S42" s="7">
        <v>882</v>
      </c>
      <c r="T42" s="7">
        <v>868</v>
      </c>
      <c r="U42" s="7">
        <v>853</v>
      </c>
      <c r="V42" s="7">
        <v>797</v>
      </c>
      <c r="W42" s="7">
        <v>858</v>
      </c>
      <c r="X42" s="7">
        <v>1279</v>
      </c>
      <c r="Y42" s="7">
        <v>1636</v>
      </c>
      <c r="Z42" s="7">
        <v>1492</v>
      </c>
      <c r="AA42" s="7">
        <v>1231</v>
      </c>
      <c r="AB42" s="7">
        <v>1316</v>
      </c>
      <c r="AC42" s="7">
        <v>1262</v>
      </c>
      <c r="AD42" s="7">
        <v>1211</v>
      </c>
      <c r="AE42" s="7">
        <v>1133</v>
      </c>
      <c r="AF42" s="7">
        <v>1042</v>
      </c>
      <c r="AG42" s="7">
        <v>1115</v>
      </c>
    </row>
    <row r="43" spans="2:34" x14ac:dyDescent="0.35">
      <c r="B43" s="2" t="s">
        <v>22</v>
      </c>
      <c r="C43" s="8">
        <v>135</v>
      </c>
      <c r="D43" s="8">
        <v>132</v>
      </c>
      <c r="E43" s="8">
        <v>132</v>
      </c>
      <c r="F43" s="8">
        <v>66</v>
      </c>
      <c r="G43" s="8">
        <v>66</v>
      </c>
      <c r="H43" s="8">
        <v>64</v>
      </c>
      <c r="I43" s="8">
        <v>68</v>
      </c>
      <c r="J43" s="8">
        <v>65</v>
      </c>
      <c r="K43" s="8">
        <v>65</v>
      </c>
      <c r="L43" s="8">
        <v>66</v>
      </c>
      <c r="M43" s="8">
        <v>66</v>
      </c>
      <c r="N43" s="8">
        <v>74</v>
      </c>
      <c r="O43" s="8">
        <v>75</v>
      </c>
      <c r="P43" s="8">
        <v>75</v>
      </c>
      <c r="Q43" s="8">
        <v>75</v>
      </c>
      <c r="R43" s="8">
        <v>85</v>
      </c>
      <c r="S43" s="8">
        <v>81</v>
      </c>
      <c r="T43" s="8">
        <v>89</v>
      </c>
      <c r="U43" s="8">
        <v>102</v>
      </c>
      <c r="V43" s="8">
        <v>96</v>
      </c>
      <c r="W43" s="8">
        <v>95</v>
      </c>
      <c r="X43" s="8">
        <v>98</v>
      </c>
      <c r="Y43" s="8">
        <v>91</v>
      </c>
      <c r="Z43" s="8">
        <v>90</v>
      </c>
      <c r="AA43" s="8">
        <v>84</v>
      </c>
      <c r="AB43" s="8">
        <v>88</v>
      </c>
      <c r="AC43" s="8">
        <v>77</v>
      </c>
      <c r="AD43" s="8">
        <v>72</v>
      </c>
      <c r="AE43" s="8">
        <v>72</v>
      </c>
      <c r="AF43" s="8">
        <v>63</v>
      </c>
      <c r="AG43" s="8">
        <v>54</v>
      </c>
    </row>
    <row r="44" spans="2:34" s="14" customFormat="1" x14ac:dyDescent="0.35">
      <c r="B44" s="1"/>
      <c r="C44" s="12">
        <f t="shared" ref="C44:O44" si="22">SUM(C36:C43)</f>
        <v>64862</v>
      </c>
      <c r="D44" s="12">
        <f t="shared" si="22"/>
        <v>62268</v>
      </c>
      <c r="E44" s="12">
        <f t="shared" si="22"/>
        <v>62774</v>
      </c>
      <c r="F44" s="12">
        <f t="shared" si="22"/>
        <v>59215</v>
      </c>
      <c r="G44" s="12">
        <f t="shared" si="22"/>
        <v>58287</v>
      </c>
      <c r="H44" s="12">
        <f t="shared" si="22"/>
        <v>60254</v>
      </c>
      <c r="I44" s="12">
        <f t="shared" si="22"/>
        <v>58592</v>
      </c>
      <c r="J44" s="12">
        <f t="shared" si="22"/>
        <v>59490</v>
      </c>
      <c r="K44" s="12">
        <f t="shared" si="22"/>
        <v>55230</v>
      </c>
      <c r="L44" s="12">
        <f t="shared" si="22"/>
        <v>58950</v>
      </c>
      <c r="M44" s="12">
        <f t="shared" si="22"/>
        <v>59708</v>
      </c>
      <c r="N44" s="12">
        <f t="shared" si="22"/>
        <v>60633</v>
      </c>
      <c r="O44" s="12">
        <f t="shared" si="22"/>
        <v>63441</v>
      </c>
      <c r="P44" s="12">
        <f t="shared" ref="P44:T44" si="23">SUM(P36:P43)</f>
        <v>62441</v>
      </c>
      <c r="Q44" s="12">
        <f t="shared" si="23"/>
        <v>64275</v>
      </c>
      <c r="R44" s="12">
        <v>64960</v>
      </c>
      <c r="S44" s="12">
        <f t="shared" si="23"/>
        <v>71194</v>
      </c>
      <c r="T44" s="12">
        <f t="shared" si="23"/>
        <v>72696</v>
      </c>
      <c r="U44" s="12">
        <f t="shared" ref="U44:V44" si="24">SUM(U36:U43)</f>
        <v>73455</v>
      </c>
      <c r="V44" s="12">
        <f t="shared" si="24"/>
        <v>70042</v>
      </c>
      <c r="W44" s="12">
        <f t="shared" ref="W44" si="25">SUM(W36:W43)</f>
        <v>71369</v>
      </c>
      <c r="X44" s="12">
        <f t="shared" ref="X44:Y44" si="26">SUM(X36:X43)</f>
        <v>71316</v>
      </c>
      <c r="Y44" s="12">
        <f t="shared" si="26"/>
        <v>76168</v>
      </c>
      <c r="Z44" s="12">
        <f t="shared" ref="Z44:AA44" si="27">SUM(Z36:Z43)</f>
        <v>79806</v>
      </c>
      <c r="AA44" s="12">
        <f t="shared" si="27"/>
        <v>73682</v>
      </c>
      <c r="AB44" s="12">
        <f t="shared" ref="AB44:AC44" si="28">SUM(AB36:AB43)</f>
        <v>77488</v>
      </c>
      <c r="AC44" s="12">
        <f t="shared" si="28"/>
        <v>78668</v>
      </c>
      <c r="AD44" s="12">
        <f t="shared" ref="AD44:AE44" si="29">SUM(AD36:AD43)</f>
        <v>85375</v>
      </c>
      <c r="AE44" s="12">
        <f t="shared" si="29"/>
        <v>86266</v>
      </c>
      <c r="AF44" s="12">
        <f t="shared" ref="AF44" si="30">SUM(AF36:AF43)</f>
        <v>84713</v>
      </c>
      <c r="AG44" s="12">
        <f t="shared" ref="AG44" si="31">SUM(AG36:AG43)</f>
        <v>86052</v>
      </c>
      <c r="AH44"/>
    </row>
    <row r="45" spans="2:34" x14ac:dyDescent="0.35">
      <c r="B45" s="1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2:34" s="14" customFormat="1" ht="15" thickBot="1" x14ac:dyDescent="0.4">
      <c r="B46" s="1" t="s">
        <v>23</v>
      </c>
      <c r="C46" s="13">
        <f t="shared" ref="C46:O46" si="32">C20+C44</f>
        <v>82867</v>
      </c>
      <c r="D46" s="13">
        <f t="shared" si="32"/>
        <v>79155</v>
      </c>
      <c r="E46" s="13">
        <f t="shared" si="32"/>
        <v>80158</v>
      </c>
      <c r="F46" s="13">
        <f t="shared" si="32"/>
        <v>79598</v>
      </c>
      <c r="G46" s="13">
        <f t="shared" si="32"/>
        <v>77513</v>
      </c>
      <c r="H46" s="13">
        <f t="shared" si="32"/>
        <v>80688</v>
      </c>
      <c r="I46" s="13">
        <f t="shared" si="32"/>
        <v>79431</v>
      </c>
      <c r="J46" s="13">
        <f t="shared" si="32"/>
        <v>82669</v>
      </c>
      <c r="K46" s="13">
        <f t="shared" si="32"/>
        <v>80567</v>
      </c>
      <c r="L46" s="13">
        <f t="shared" si="32"/>
        <v>82578</v>
      </c>
      <c r="M46" s="13">
        <f t="shared" si="32"/>
        <v>84121</v>
      </c>
      <c r="N46" s="13">
        <f t="shared" si="32"/>
        <v>85046</v>
      </c>
      <c r="O46" s="13">
        <f t="shared" si="32"/>
        <v>83517</v>
      </c>
      <c r="P46" s="13">
        <f t="shared" ref="P46:T46" si="33">P20+P44</f>
        <v>82152</v>
      </c>
      <c r="Q46" s="13">
        <f t="shared" si="33"/>
        <v>83937</v>
      </c>
      <c r="R46" s="13">
        <v>84723</v>
      </c>
      <c r="S46" s="13">
        <f t="shared" si="33"/>
        <v>93521</v>
      </c>
      <c r="T46" s="13">
        <f t="shared" si="33"/>
        <v>97501</v>
      </c>
      <c r="U46" s="13">
        <f t="shared" ref="U46:V46" si="34">U20+U44</f>
        <v>99609</v>
      </c>
      <c r="V46" s="13">
        <f t="shared" si="34"/>
        <v>96478</v>
      </c>
      <c r="W46" s="13">
        <f t="shared" ref="W46:Y46" si="35">W20+W44</f>
        <v>100207</v>
      </c>
      <c r="X46" s="13">
        <f t="shared" si="35"/>
        <v>100074</v>
      </c>
      <c r="Y46" s="13">
        <f t="shared" si="35"/>
        <v>108494</v>
      </c>
      <c r="Z46" s="13">
        <f t="shared" ref="Z46:AA46" si="36">Z20+Z44</f>
        <v>118358</v>
      </c>
      <c r="AA46" s="13">
        <f t="shared" si="36"/>
        <v>105175</v>
      </c>
      <c r="AB46" s="13">
        <f t="shared" ref="AB46:AC46" si="37">AB20+AB44</f>
        <v>113312</v>
      </c>
      <c r="AC46" s="13">
        <f t="shared" si="37"/>
        <v>113720</v>
      </c>
      <c r="AD46" s="13">
        <f t="shared" ref="AD46:AE46" si="38">AD20+AD44</f>
        <v>113347</v>
      </c>
      <c r="AE46" s="13">
        <f t="shared" si="38"/>
        <v>113342</v>
      </c>
      <c r="AF46" s="13">
        <f t="shared" ref="AF46:AG46" si="39">AF20+AF44</f>
        <v>111271</v>
      </c>
      <c r="AG46" s="13">
        <f t="shared" si="39"/>
        <v>114260</v>
      </c>
      <c r="AH46"/>
    </row>
    <row r="47" spans="2:34" ht="15" thickTop="1" x14ac:dyDescent="0.35">
      <c r="B47" s="2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2:34" ht="15.5" x14ac:dyDescent="0.35">
      <c r="B48" s="5" t="s">
        <v>24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2:33" x14ac:dyDescent="0.35">
      <c r="B49" s="1" t="s">
        <v>25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</row>
    <row r="50" spans="2:33" x14ac:dyDescent="0.35">
      <c r="B50" s="2" t="s">
        <v>26</v>
      </c>
      <c r="C50" s="7">
        <v>2447</v>
      </c>
      <c r="D50" s="7">
        <v>1942</v>
      </c>
      <c r="E50" s="7">
        <v>1483</v>
      </c>
      <c r="F50" s="7">
        <v>1772</v>
      </c>
      <c r="G50" s="7">
        <v>1721</v>
      </c>
      <c r="H50" s="7">
        <v>1845</v>
      </c>
      <c r="I50" s="7">
        <v>2156</v>
      </c>
      <c r="J50" s="7">
        <v>2573</v>
      </c>
      <c r="K50" s="7">
        <v>2197</v>
      </c>
      <c r="L50" s="7">
        <v>1232</v>
      </c>
      <c r="M50" s="7">
        <v>2593</v>
      </c>
      <c r="N50" s="7">
        <v>5291</v>
      </c>
      <c r="O50" s="7">
        <v>1672</v>
      </c>
      <c r="P50" s="7">
        <v>1278</v>
      </c>
      <c r="Q50" s="7">
        <v>774</v>
      </c>
      <c r="R50" s="7">
        <v>954</v>
      </c>
      <c r="S50" s="7">
        <v>1620</v>
      </c>
      <c r="T50" s="7">
        <v>2789</v>
      </c>
      <c r="U50" s="7">
        <v>3045</v>
      </c>
      <c r="V50" s="7">
        <v>1407</v>
      </c>
      <c r="W50" s="7">
        <v>1519</v>
      </c>
      <c r="X50" s="7">
        <v>1004</v>
      </c>
      <c r="Y50" s="7">
        <v>868</v>
      </c>
      <c r="Z50" s="7">
        <v>603</v>
      </c>
      <c r="AA50" s="7">
        <v>591</v>
      </c>
      <c r="AB50" s="7">
        <v>588</v>
      </c>
      <c r="AC50" s="7">
        <v>679</v>
      </c>
      <c r="AD50" s="7">
        <v>647</v>
      </c>
      <c r="AE50" s="7">
        <v>726</v>
      </c>
      <c r="AF50" s="7">
        <v>743</v>
      </c>
      <c r="AG50" s="7">
        <v>756</v>
      </c>
    </row>
    <row r="51" spans="2:33" x14ac:dyDescent="0.35">
      <c r="B51" s="2" t="s">
        <v>7</v>
      </c>
      <c r="C51" s="7">
        <v>415</v>
      </c>
      <c r="D51" s="7">
        <v>520</v>
      </c>
      <c r="E51" s="7">
        <v>495</v>
      </c>
      <c r="F51" s="7">
        <v>401</v>
      </c>
      <c r="G51" s="7">
        <v>484</v>
      </c>
      <c r="H51" s="7">
        <v>407</v>
      </c>
      <c r="I51" s="7">
        <v>385</v>
      </c>
      <c r="J51" s="7">
        <v>299</v>
      </c>
      <c r="K51" s="7">
        <v>50</v>
      </c>
      <c r="L51" s="7">
        <v>252</v>
      </c>
      <c r="M51" s="7">
        <v>278</v>
      </c>
      <c r="N51" s="7">
        <v>166</v>
      </c>
      <c r="O51" s="7">
        <v>102</v>
      </c>
      <c r="P51" s="7">
        <v>53</v>
      </c>
      <c r="Q51" s="7">
        <v>99</v>
      </c>
      <c r="R51" s="7">
        <v>69</v>
      </c>
      <c r="S51" s="7">
        <v>494</v>
      </c>
      <c r="T51" s="7">
        <v>484</v>
      </c>
      <c r="U51" s="7">
        <v>463</v>
      </c>
      <c r="V51" s="7">
        <v>511</v>
      </c>
      <c r="W51" s="7">
        <v>662</v>
      </c>
      <c r="X51" s="7">
        <v>636</v>
      </c>
      <c r="Y51" s="7">
        <v>740</v>
      </c>
      <c r="Z51" s="7">
        <v>556</v>
      </c>
      <c r="AA51" s="7">
        <v>424</v>
      </c>
      <c r="AB51" s="7">
        <v>407</v>
      </c>
      <c r="AC51" s="7">
        <v>382</v>
      </c>
      <c r="AD51" s="7">
        <v>326</v>
      </c>
      <c r="AE51" s="7">
        <v>316</v>
      </c>
      <c r="AF51" s="7">
        <v>328</v>
      </c>
      <c r="AG51" s="7">
        <v>364</v>
      </c>
    </row>
    <row r="52" spans="2:33" x14ac:dyDescent="0.35">
      <c r="B52" s="2" t="s">
        <v>231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7">
        <v>17</v>
      </c>
      <c r="AB52" s="7">
        <v>13</v>
      </c>
      <c r="AC52" s="7">
        <v>8</v>
      </c>
      <c r="AD52" s="7">
        <v>9</v>
      </c>
      <c r="AE52" s="7">
        <v>26</v>
      </c>
      <c r="AF52" s="7">
        <v>9</v>
      </c>
      <c r="AG52" s="7">
        <v>9</v>
      </c>
    </row>
    <row r="53" spans="2:33" x14ac:dyDescent="0.35">
      <c r="B53" s="28" t="s">
        <v>169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250</v>
      </c>
      <c r="P53" s="7">
        <v>196</v>
      </c>
      <c r="Q53" s="7">
        <v>229</v>
      </c>
      <c r="R53" s="7">
        <v>210</v>
      </c>
      <c r="S53" s="7">
        <v>244</v>
      </c>
      <c r="T53" s="7">
        <v>246</v>
      </c>
      <c r="U53" s="7">
        <v>254</v>
      </c>
      <c r="V53" s="7">
        <v>235</v>
      </c>
      <c r="W53" s="7">
        <v>247</v>
      </c>
      <c r="X53" s="7">
        <v>305</v>
      </c>
      <c r="Y53" s="7">
        <v>346</v>
      </c>
      <c r="Z53" s="7">
        <v>330</v>
      </c>
      <c r="AA53" s="7">
        <v>283</v>
      </c>
      <c r="AB53" s="7">
        <v>333</v>
      </c>
      <c r="AC53" s="7">
        <v>309</v>
      </c>
      <c r="AD53" s="7">
        <v>206</v>
      </c>
      <c r="AE53" s="7">
        <v>198</v>
      </c>
      <c r="AF53" s="7">
        <v>172</v>
      </c>
      <c r="AG53" s="7">
        <v>188</v>
      </c>
    </row>
    <row r="54" spans="2:33" x14ac:dyDescent="0.35">
      <c r="B54" s="2" t="s">
        <v>27</v>
      </c>
      <c r="C54" s="7">
        <v>966</v>
      </c>
      <c r="D54" s="7">
        <v>784</v>
      </c>
      <c r="E54" s="7">
        <v>914</v>
      </c>
      <c r="F54" s="7">
        <v>968</v>
      </c>
      <c r="G54" s="7">
        <v>1009</v>
      </c>
      <c r="H54" s="7">
        <v>899</v>
      </c>
      <c r="I54" s="7">
        <v>769</v>
      </c>
      <c r="J54" s="7">
        <v>1070</v>
      </c>
      <c r="K54" s="7">
        <v>1253</v>
      </c>
      <c r="L54" s="7">
        <v>990</v>
      </c>
      <c r="M54" s="7">
        <v>1029</v>
      </c>
      <c r="N54" s="7">
        <v>1312</v>
      </c>
      <c r="O54" s="7">
        <v>989</v>
      </c>
      <c r="P54" s="7">
        <v>1177</v>
      </c>
      <c r="Q54" s="7">
        <v>1397</v>
      </c>
      <c r="R54" s="7">
        <v>1415</v>
      </c>
      <c r="S54" s="7">
        <v>1362</v>
      </c>
      <c r="T54" s="7">
        <v>1287</v>
      </c>
      <c r="U54" s="7">
        <v>1706</v>
      </c>
      <c r="V54" s="7">
        <v>2380</v>
      </c>
      <c r="W54" s="7">
        <v>2529</v>
      </c>
      <c r="X54" s="7">
        <v>2518</v>
      </c>
      <c r="Y54" s="7">
        <v>2904</v>
      </c>
      <c r="Z54" s="7">
        <v>3405</v>
      </c>
      <c r="AA54" s="7">
        <v>3052</v>
      </c>
      <c r="AB54" s="7">
        <v>3159</v>
      </c>
      <c r="AC54" s="7">
        <v>3127</v>
      </c>
      <c r="AD54" s="7">
        <v>3219</v>
      </c>
      <c r="AE54" s="7">
        <v>3181</v>
      </c>
      <c r="AF54" s="7">
        <v>2892</v>
      </c>
      <c r="AG54" s="7">
        <v>2885</v>
      </c>
    </row>
    <row r="55" spans="2:33" x14ac:dyDescent="0.35">
      <c r="B55" s="2" t="s">
        <v>28</v>
      </c>
      <c r="C55" s="7">
        <v>2989</v>
      </c>
      <c r="D55" s="7">
        <v>2879</v>
      </c>
      <c r="E55" s="7">
        <v>2727</v>
      </c>
      <c r="F55" s="7">
        <v>2726</v>
      </c>
      <c r="G55" s="7">
        <v>2307</v>
      </c>
      <c r="H55" s="7">
        <v>2806</v>
      </c>
      <c r="I55" s="7">
        <v>2819</v>
      </c>
      <c r="J55" s="7">
        <v>3353</v>
      </c>
      <c r="K55" s="7">
        <v>3170</v>
      </c>
      <c r="L55" s="7">
        <v>3963</v>
      </c>
      <c r="M55" s="7">
        <v>4156</v>
      </c>
      <c r="N55" s="7">
        <v>4137</v>
      </c>
      <c r="O55" s="7">
        <v>3618</v>
      </c>
      <c r="P55" s="7">
        <v>3748</v>
      </c>
      <c r="Q55" s="7">
        <v>3919</v>
      </c>
      <c r="R55" s="7">
        <v>4429</v>
      </c>
      <c r="S55" s="7">
        <v>4148</v>
      </c>
      <c r="T55" s="7">
        <v>4219</v>
      </c>
      <c r="U55" s="7">
        <v>4914</v>
      </c>
      <c r="V55" s="7">
        <v>5404</v>
      </c>
      <c r="W55" s="7">
        <v>5218</v>
      </c>
      <c r="X55" s="7">
        <v>5269</v>
      </c>
      <c r="Y55" s="7">
        <v>6119</v>
      </c>
      <c r="Z55" s="7">
        <v>6914</v>
      </c>
      <c r="AA55" s="7">
        <v>5990</v>
      </c>
      <c r="AB55" s="7">
        <v>6762</v>
      </c>
      <c r="AC55" s="7">
        <v>7044</v>
      </c>
      <c r="AD55" s="7">
        <v>7406</v>
      </c>
      <c r="AE55" s="7">
        <v>6252</v>
      </c>
      <c r="AF55" s="7">
        <v>5774</v>
      </c>
      <c r="AG55" s="7">
        <v>5997</v>
      </c>
    </row>
    <row r="56" spans="2:33" x14ac:dyDescent="0.35">
      <c r="B56" s="2" t="s">
        <v>29</v>
      </c>
      <c r="C56" s="7">
        <v>663</v>
      </c>
      <c r="D56" s="7">
        <v>727</v>
      </c>
      <c r="E56" s="7">
        <v>863</v>
      </c>
      <c r="F56" s="7">
        <v>848</v>
      </c>
      <c r="G56" s="7">
        <v>539</v>
      </c>
      <c r="H56" s="7">
        <v>663</v>
      </c>
      <c r="I56" s="7">
        <v>810</v>
      </c>
      <c r="J56" s="7">
        <v>895</v>
      </c>
      <c r="K56" s="7">
        <v>555</v>
      </c>
      <c r="L56" s="7">
        <v>742</v>
      </c>
      <c r="M56" s="7">
        <v>887</v>
      </c>
      <c r="N56" s="7">
        <v>845</v>
      </c>
      <c r="O56" s="7">
        <v>587</v>
      </c>
      <c r="P56" s="7">
        <v>701</v>
      </c>
      <c r="Q56" s="7">
        <v>839</v>
      </c>
      <c r="R56" s="7">
        <v>836</v>
      </c>
      <c r="S56" s="7">
        <v>691</v>
      </c>
      <c r="T56" s="7">
        <v>896</v>
      </c>
      <c r="U56" s="7">
        <v>1125</v>
      </c>
      <c r="V56" s="7">
        <v>1174</v>
      </c>
      <c r="W56" s="7">
        <v>895</v>
      </c>
      <c r="X56" s="7">
        <v>999</v>
      </c>
      <c r="Y56" s="7">
        <v>1296</v>
      </c>
      <c r="Z56" s="7">
        <v>1377</v>
      </c>
      <c r="AA56" s="7">
        <v>888</v>
      </c>
      <c r="AB56" s="7">
        <v>1110</v>
      </c>
      <c r="AC56" s="7">
        <v>1313</v>
      </c>
      <c r="AD56" s="7">
        <v>1329</v>
      </c>
      <c r="AE56" s="7">
        <v>1011</v>
      </c>
      <c r="AF56" s="7">
        <v>1104</v>
      </c>
      <c r="AG56" s="7">
        <v>1352</v>
      </c>
    </row>
    <row r="57" spans="2:33" x14ac:dyDescent="0.35">
      <c r="B57" s="2" t="s">
        <v>30</v>
      </c>
      <c r="C57" s="7">
        <v>427</v>
      </c>
      <c r="D57" s="7">
        <v>448</v>
      </c>
      <c r="E57" s="7">
        <v>472</v>
      </c>
      <c r="F57" s="7">
        <v>422</v>
      </c>
      <c r="G57" s="7">
        <v>445</v>
      </c>
      <c r="H57" s="7">
        <v>465</v>
      </c>
      <c r="I57" s="7">
        <v>535</v>
      </c>
      <c r="J57" s="7">
        <v>617</v>
      </c>
      <c r="K57" s="7">
        <v>411</v>
      </c>
      <c r="L57" s="7">
        <v>465</v>
      </c>
      <c r="M57" s="7">
        <v>535</v>
      </c>
      <c r="N57" s="7">
        <v>490</v>
      </c>
      <c r="O57" s="7">
        <v>499</v>
      </c>
      <c r="P57" s="7">
        <v>509</v>
      </c>
      <c r="Q57" s="7">
        <v>559</v>
      </c>
      <c r="R57" s="7">
        <v>424</v>
      </c>
      <c r="S57" s="7">
        <v>461</v>
      </c>
      <c r="T57" s="7">
        <v>571</v>
      </c>
      <c r="U57" s="7">
        <v>899</v>
      </c>
      <c r="V57" s="7">
        <v>760</v>
      </c>
      <c r="W57" s="7">
        <v>1118</v>
      </c>
      <c r="X57" s="7">
        <v>1379</v>
      </c>
      <c r="Y57" s="7">
        <v>1712</v>
      </c>
      <c r="Z57" s="7">
        <v>1627</v>
      </c>
      <c r="AA57" s="7">
        <v>808</v>
      </c>
      <c r="AB57" s="7">
        <v>1134</v>
      </c>
      <c r="AC57" s="7">
        <v>1170</v>
      </c>
      <c r="AD57" s="7">
        <v>742</v>
      </c>
      <c r="AE57" s="7">
        <v>645</v>
      </c>
      <c r="AF57" s="7">
        <v>682</v>
      </c>
      <c r="AG57" s="7">
        <v>994</v>
      </c>
    </row>
    <row r="58" spans="2:33" x14ac:dyDescent="0.35">
      <c r="B58" s="2" t="s">
        <v>31</v>
      </c>
      <c r="C58" s="7">
        <v>222</v>
      </c>
      <c r="D58" s="7">
        <v>179</v>
      </c>
      <c r="E58" s="7">
        <v>179</v>
      </c>
      <c r="F58" s="7">
        <v>174</v>
      </c>
      <c r="G58" s="7">
        <v>186</v>
      </c>
      <c r="H58" s="7">
        <v>179</v>
      </c>
      <c r="I58" s="7">
        <v>190</v>
      </c>
      <c r="J58" s="7">
        <v>408</v>
      </c>
      <c r="K58" s="7">
        <v>395</v>
      </c>
      <c r="L58" s="7">
        <v>236</v>
      </c>
      <c r="M58" s="7">
        <v>231</v>
      </c>
      <c r="N58" s="7">
        <v>128</v>
      </c>
      <c r="O58" s="7">
        <v>132</v>
      </c>
      <c r="P58" s="7">
        <v>121</v>
      </c>
      <c r="Q58" s="7">
        <v>139</v>
      </c>
      <c r="R58" s="7">
        <v>102</v>
      </c>
      <c r="S58" s="7">
        <v>221</v>
      </c>
      <c r="T58" s="7">
        <v>389</v>
      </c>
      <c r="U58" s="7">
        <v>234</v>
      </c>
      <c r="V58" s="7">
        <v>182</v>
      </c>
      <c r="W58" s="7">
        <v>217</v>
      </c>
      <c r="X58" s="7">
        <v>251</v>
      </c>
      <c r="Y58" s="7">
        <v>259</v>
      </c>
      <c r="Z58" s="7">
        <v>188</v>
      </c>
      <c r="AA58" s="7">
        <v>144</v>
      </c>
      <c r="AB58" s="7">
        <v>138</v>
      </c>
      <c r="AC58" s="7">
        <v>158</v>
      </c>
      <c r="AD58" s="7">
        <v>164</v>
      </c>
      <c r="AE58" s="7">
        <v>99</v>
      </c>
      <c r="AF58" s="7">
        <v>132</v>
      </c>
      <c r="AG58" s="7">
        <v>104</v>
      </c>
    </row>
    <row r="59" spans="2:33" x14ac:dyDescent="0.35">
      <c r="B59" s="2" t="s">
        <v>39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145</v>
      </c>
      <c r="AA59" s="7">
        <v>0</v>
      </c>
      <c r="AB59" s="7">
        <v>0</v>
      </c>
      <c r="AC59" s="7">
        <v>0</v>
      </c>
      <c r="AD59" s="7">
        <v>190</v>
      </c>
      <c r="AE59" s="7">
        <v>179</v>
      </c>
      <c r="AF59" s="7">
        <v>413</v>
      </c>
      <c r="AG59" s="7">
        <v>254</v>
      </c>
    </row>
    <row r="60" spans="2:33" x14ac:dyDescent="0.35">
      <c r="B60" s="2" t="s">
        <v>32</v>
      </c>
      <c r="C60" s="7">
        <v>197</v>
      </c>
      <c r="D60" s="7">
        <v>59</v>
      </c>
      <c r="E60" s="7">
        <v>54</v>
      </c>
      <c r="F60" s="7">
        <v>48</v>
      </c>
      <c r="G60" s="7">
        <v>57</v>
      </c>
      <c r="H60" s="7">
        <v>51</v>
      </c>
      <c r="I60" s="7">
        <v>238</v>
      </c>
      <c r="J60" s="7">
        <v>188</v>
      </c>
      <c r="K60" s="7">
        <v>680</v>
      </c>
      <c r="L60" s="7">
        <v>63</v>
      </c>
      <c r="M60" s="7">
        <v>51</v>
      </c>
      <c r="N60" s="7">
        <v>482</v>
      </c>
      <c r="O60" s="7">
        <v>511</v>
      </c>
      <c r="P60" s="7">
        <v>529</v>
      </c>
      <c r="Q60" s="7">
        <v>48</v>
      </c>
      <c r="R60" s="7">
        <v>120</v>
      </c>
      <c r="S60" s="7">
        <v>105</v>
      </c>
      <c r="T60" s="7">
        <v>64</v>
      </c>
      <c r="U60" s="7">
        <v>28</v>
      </c>
      <c r="V60" s="7">
        <v>44</v>
      </c>
      <c r="W60" s="7">
        <v>28</v>
      </c>
      <c r="X60" s="7">
        <v>25</v>
      </c>
      <c r="Y60" s="7">
        <v>36</v>
      </c>
      <c r="Z60" s="7">
        <v>1624</v>
      </c>
      <c r="AA60" s="7">
        <v>1676</v>
      </c>
      <c r="AB60" s="7">
        <v>225</v>
      </c>
      <c r="AC60" s="7">
        <v>199</v>
      </c>
      <c r="AD60" s="7">
        <v>1262</v>
      </c>
      <c r="AE60" s="7">
        <v>1261</v>
      </c>
      <c r="AF60" s="7">
        <v>166</v>
      </c>
      <c r="AG60" s="7">
        <v>161</v>
      </c>
    </row>
    <row r="61" spans="2:33" x14ac:dyDescent="0.35">
      <c r="B61" s="2" t="s">
        <v>33</v>
      </c>
      <c r="C61" s="7">
        <v>62</v>
      </c>
      <c r="D61" s="7">
        <v>63</v>
      </c>
      <c r="E61" s="7">
        <v>64</v>
      </c>
      <c r="F61" s="7">
        <v>67</v>
      </c>
      <c r="G61" s="7">
        <v>68</v>
      </c>
      <c r="H61" s="7">
        <v>69</v>
      </c>
      <c r="I61" s="7">
        <v>67</v>
      </c>
      <c r="J61" s="7">
        <v>76</v>
      </c>
      <c r="K61" s="7">
        <v>76</v>
      </c>
      <c r="L61" s="7">
        <v>77</v>
      </c>
      <c r="M61" s="7">
        <v>78</v>
      </c>
      <c r="N61" s="7">
        <v>83</v>
      </c>
      <c r="O61" s="7">
        <v>82</v>
      </c>
      <c r="P61" s="7">
        <v>83</v>
      </c>
      <c r="Q61" s="7">
        <v>83</v>
      </c>
      <c r="R61" s="7">
        <v>87</v>
      </c>
      <c r="S61" s="7">
        <v>88</v>
      </c>
      <c r="T61" s="7">
        <v>90</v>
      </c>
      <c r="U61" s="7">
        <v>93</v>
      </c>
      <c r="V61" s="7">
        <v>97</v>
      </c>
      <c r="W61" s="7">
        <v>106</v>
      </c>
      <c r="X61" s="7">
        <v>117</v>
      </c>
      <c r="Y61" s="7">
        <v>126</v>
      </c>
      <c r="Z61" s="7">
        <v>175</v>
      </c>
      <c r="AA61" s="7">
        <v>138</v>
      </c>
      <c r="AB61" s="7">
        <v>141</v>
      </c>
      <c r="AC61" s="7">
        <v>139</v>
      </c>
      <c r="AD61" s="7">
        <v>119</v>
      </c>
      <c r="AE61" s="7">
        <v>142</v>
      </c>
      <c r="AF61" s="7">
        <v>142</v>
      </c>
      <c r="AG61" s="7">
        <v>141</v>
      </c>
    </row>
    <row r="62" spans="2:33" x14ac:dyDescent="0.35">
      <c r="B62" s="2" t="s">
        <v>204</v>
      </c>
      <c r="C62" s="7">
        <v>0</v>
      </c>
      <c r="D62" s="7">
        <v>8</v>
      </c>
      <c r="E62" s="7">
        <v>8</v>
      </c>
      <c r="F62" s="7">
        <v>0</v>
      </c>
      <c r="G62" s="7">
        <v>0</v>
      </c>
      <c r="H62" s="7">
        <v>0</v>
      </c>
      <c r="I62" s="7">
        <v>0</v>
      </c>
      <c r="J62" s="7">
        <v>1</v>
      </c>
      <c r="K62" s="7">
        <v>1</v>
      </c>
      <c r="L62" s="7">
        <v>5</v>
      </c>
      <c r="M62" s="7">
        <v>8</v>
      </c>
      <c r="N62" s="7">
        <v>19</v>
      </c>
      <c r="O62" s="7">
        <v>0</v>
      </c>
      <c r="P62" s="7">
        <v>11</v>
      </c>
      <c r="Q62" s="7">
        <v>19</v>
      </c>
      <c r="R62" s="7">
        <v>81</v>
      </c>
      <c r="S62" s="7">
        <v>41</v>
      </c>
      <c r="T62" s="7">
        <v>68</v>
      </c>
      <c r="U62" s="7">
        <v>68</v>
      </c>
      <c r="V62" s="7">
        <v>75</v>
      </c>
      <c r="W62" s="7">
        <v>82</v>
      </c>
      <c r="X62" s="7">
        <v>6</v>
      </c>
      <c r="Y62" s="7">
        <v>1</v>
      </c>
      <c r="Z62" s="7">
        <v>800</v>
      </c>
      <c r="AA62" s="7">
        <v>50</v>
      </c>
      <c r="AB62" s="7">
        <v>79</v>
      </c>
      <c r="AC62" s="7">
        <v>144</v>
      </c>
      <c r="AD62" s="7">
        <v>153</v>
      </c>
      <c r="AE62" s="7">
        <v>195</v>
      </c>
      <c r="AF62" s="7">
        <v>260</v>
      </c>
      <c r="AG62" s="7">
        <v>181.51</v>
      </c>
    </row>
    <row r="63" spans="2:33" x14ac:dyDescent="0.35">
      <c r="B63" s="2" t="s">
        <v>34</v>
      </c>
      <c r="C63" s="7">
        <v>0</v>
      </c>
      <c r="D63" s="7">
        <v>0</v>
      </c>
      <c r="E63" s="7">
        <v>249</v>
      </c>
      <c r="F63" s="7">
        <v>244</v>
      </c>
      <c r="G63" s="7">
        <v>244</v>
      </c>
      <c r="H63" s="7">
        <v>243</v>
      </c>
      <c r="I63" s="7">
        <v>242</v>
      </c>
      <c r="J63" s="7">
        <v>246</v>
      </c>
      <c r="K63" s="7">
        <v>247</v>
      </c>
      <c r="L63" s="7">
        <v>245</v>
      </c>
      <c r="M63" s="7">
        <v>251</v>
      </c>
      <c r="N63" s="7">
        <v>242</v>
      </c>
      <c r="O63" s="7">
        <v>211</v>
      </c>
      <c r="P63" s="7">
        <v>150</v>
      </c>
      <c r="Q63" s="7">
        <v>89</v>
      </c>
      <c r="R63" s="7">
        <v>0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0</v>
      </c>
      <c r="AA63" s="7">
        <v>0</v>
      </c>
      <c r="AB63" s="7">
        <v>0</v>
      </c>
      <c r="AC63" s="7">
        <v>0</v>
      </c>
      <c r="AD63" s="7">
        <v>0</v>
      </c>
      <c r="AE63" s="7">
        <v>0</v>
      </c>
      <c r="AF63" s="7">
        <v>0</v>
      </c>
      <c r="AG63" s="7">
        <v>0</v>
      </c>
    </row>
    <row r="64" spans="2:33" x14ac:dyDescent="0.35">
      <c r="B64" s="2" t="s">
        <v>35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97</v>
      </c>
      <c r="J64" s="7">
        <v>104</v>
      </c>
      <c r="K64" s="7">
        <v>92</v>
      </c>
      <c r="L64" s="7">
        <v>116</v>
      </c>
      <c r="M64" s="7">
        <v>124</v>
      </c>
      <c r="N64" s="7">
        <v>124</v>
      </c>
      <c r="O64" s="7">
        <v>117</v>
      </c>
      <c r="P64" s="7">
        <v>118</v>
      </c>
      <c r="Q64" s="7">
        <v>108</v>
      </c>
      <c r="R64" s="7">
        <v>106</v>
      </c>
      <c r="S64" s="7">
        <v>127</v>
      </c>
      <c r="T64" s="7">
        <v>136</v>
      </c>
      <c r="U64" s="7">
        <v>141</v>
      </c>
      <c r="V64" s="7">
        <v>141</v>
      </c>
      <c r="W64" s="7">
        <v>136</v>
      </c>
      <c r="X64" s="7">
        <v>110</v>
      </c>
      <c r="Y64" s="7">
        <v>167</v>
      </c>
      <c r="Z64" s="7">
        <v>185</v>
      </c>
      <c r="AA64" s="7">
        <v>165</v>
      </c>
      <c r="AB64" s="7">
        <v>172</v>
      </c>
      <c r="AC64" s="7">
        <v>151</v>
      </c>
      <c r="AD64" s="7">
        <v>137</v>
      </c>
      <c r="AE64" s="7">
        <v>125</v>
      </c>
      <c r="AF64" s="7">
        <v>126</v>
      </c>
      <c r="AG64" s="7">
        <v>147</v>
      </c>
    </row>
    <row r="65" spans="2:34" x14ac:dyDescent="0.35">
      <c r="B65" s="2" t="s">
        <v>36</v>
      </c>
      <c r="C65" s="8">
        <v>799</v>
      </c>
      <c r="D65" s="8">
        <v>886</v>
      </c>
      <c r="E65" s="8">
        <v>587</v>
      </c>
      <c r="F65" s="8">
        <v>795</v>
      </c>
      <c r="G65" s="8">
        <v>647</v>
      </c>
      <c r="H65" s="8">
        <v>686</v>
      </c>
      <c r="I65" s="8">
        <v>573</v>
      </c>
      <c r="J65" s="8">
        <v>643</v>
      </c>
      <c r="K65" s="8">
        <v>641</v>
      </c>
      <c r="L65" s="8">
        <v>681</v>
      </c>
      <c r="M65" s="8">
        <v>737</v>
      </c>
      <c r="N65" s="8">
        <v>808</v>
      </c>
      <c r="O65" s="8">
        <v>741</v>
      </c>
      <c r="P65" s="8">
        <v>788</v>
      </c>
      <c r="Q65" s="8">
        <v>849</v>
      </c>
      <c r="R65" s="8">
        <v>870</v>
      </c>
      <c r="S65" s="8">
        <v>951</v>
      </c>
      <c r="T65" s="8">
        <v>999</v>
      </c>
      <c r="U65" s="8">
        <v>939</v>
      </c>
      <c r="V65" s="8">
        <v>924</v>
      </c>
      <c r="W65" s="107">
        <v>1021</v>
      </c>
      <c r="X65" s="107">
        <v>1317</v>
      </c>
      <c r="Y65" s="107">
        <v>1202</v>
      </c>
      <c r="Z65" s="107">
        <v>1529</v>
      </c>
      <c r="AA65" s="107">
        <v>1333</v>
      </c>
      <c r="AB65" s="107">
        <v>1159</v>
      </c>
      <c r="AC65" s="107">
        <v>967</v>
      </c>
      <c r="AD65" s="107">
        <v>1040</v>
      </c>
      <c r="AE65" s="107">
        <v>995</v>
      </c>
      <c r="AF65" s="107">
        <v>794</v>
      </c>
      <c r="AG65" s="107">
        <v>1084.51</v>
      </c>
    </row>
    <row r="66" spans="2:34" s="14" customFormat="1" x14ac:dyDescent="0.35">
      <c r="B66" s="1"/>
      <c r="C66" s="11">
        <f t="shared" ref="C66:Q66" si="40">SUM(C50:C65)</f>
        <v>9187</v>
      </c>
      <c r="D66" s="11">
        <f t="shared" si="40"/>
        <v>8495</v>
      </c>
      <c r="E66" s="11">
        <f t="shared" si="40"/>
        <v>8095</v>
      </c>
      <c r="F66" s="11">
        <f t="shared" si="40"/>
        <v>8465</v>
      </c>
      <c r="G66" s="11">
        <f t="shared" si="40"/>
        <v>7707</v>
      </c>
      <c r="H66" s="11">
        <f t="shared" si="40"/>
        <v>8313</v>
      </c>
      <c r="I66" s="11">
        <f t="shared" si="40"/>
        <v>8881</v>
      </c>
      <c r="J66" s="11">
        <f t="shared" si="40"/>
        <v>10473</v>
      </c>
      <c r="K66" s="11">
        <f t="shared" si="40"/>
        <v>9768</v>
      </c>
      <c r="L66" s="11">
        <f t="shared" si="40"/>
        <v>9067</v>
      </c>
      <c r="M66" s="11">
        <f t="shared" si="40"/>
        <v>10958</v>
      </c>
      <c r="N66" s="11">
        <f t="shared" si="40"/>
        <v>14127</v>
      </c>
      <c r="O66" s="11">
        <f t="shared" si="40"/>
        <v>9511</v>
      </c>
      <c r="P66" s="11">
        <f t="shared" si="40"/>
        <v>9462</v>
      </c>
      <c r="Q66" s="11">
        <f t="shared" si="40"/>
        <v>9151</v>
      </c>
      <c r="R66" s="11">
        <v>9703</v>
      </c>
      <c r="S66" s="11">
        <f>SUM(S50:S65)</f>
        <v>10553</v>
      </c>
      <c r="T66" s="11">
        <f>SUM(T50:T65)</f>
        <v>12238</v>
      </c>
      <c r="U66" s="11">
        <f>SUM(U50:U65)</f>
        <v>13909</v>
      </c>
      <c r="V66" s="11">
        <f>SUM(V50:V65)</f>
        <v>13334</v>
      </c>
      <c r="W66" s="11">
        <f>SUM(W50:W65)</f>
        <v>13778</v>
      </c>
      <c r="X66" s="11">
        <f t="shared" ref="X66:Y66" si="41">SUM(X50:X65)</f>
        <v>13936</v>
      </c>
      <c r="Y66" s="11">
        <f t="shared" si="41"/>
        <v>15776</v>
      </c>
      <c r="Z66" s="11">
        <f t="shared" ref="Z66:AA66" si="42">SUM(Z50:Z65)</f>
        <v>19458</v>
      </c>
      <c r="AA66" s="11">
        <f t="shared" si="42"/>
        <v>15559</v>
      </c>
      <c r="AB66" s="11">
        <f t="shared" ref="AB66:AC66" si="43">SUM(AB50:AB65)</f>
        <v>15420</v>
      </c>
      <c r="AC66" s="11">
        <f t="shared" si="43"/>
        <v>15790</v>
      </c>
      <c r="AD66" s="11">
        <f t="shared" ref="AD66:AE66" si="44">SUM(AD50:AD65)</f>
        <v>16949</v>
      </c>
      <c r="AE66" s="11">
        <f t="shared" si="44"/>
        <v>15351</v>
      </c>
      <c r="AF66" s="11">
        <f t="shared" ref="AF66" si="45">SUM(AF50:AF65)</f>
        <v>13737</v>
      </c>
      <c r="AG66" s="11">
        <f t="shared" ref="AG66" si="46">SUM(AG50:AG65)</f>
        <v>14618.02</v>
      </c>
      <c r="AH66"/>
    </row>
    <row r="67" spans="2:34" x14ac:dyDescent="0.35">
      <c r="B67" s="2" t="s">
        <v>37</v>
      </c>
      <c r="C67" s="8">
        <v>0</v>
      </c>
      <c r="D67" s="8">
        <v>0</v>
      </c>
      <c r="E67" s="8">
        <v>0</v>
      </c>
      <c r="F67" s="7">
        <v>1522</v>
      </c>
      <c r="G67" s="7">
        <v>1522</v>
      </c>
      <c r="H67" s="7">
        <v>1522</v>
      </c>
      <c r="I67" s="7">
        <v>1606</v>
      </c>
      <c r="J67" s="7">
        <v>1526</v>
      </c>
      <c r="K67" s="7">
        <v>1526</v>
      </c>
      <c r="L67" s="7">
        <v>3</v>
      </c>
      <c r="M67" s="7">
        <v>3</v>
      </c>
      <c r="N67" s="7">
        <v>108</v>
      </c>
      <c r="O67" s="7">
        <v>119</v>
      </c>
      <c r="P67" s="7">
        <v>0</v>
      </c>
      <c r="Q67" s="7">
        <v>2</v>
      </c>
      <c r="R67" s="7">
        <v>2</v>
      </c>
      <c r="S67" s="7">
        <v>2</v>
      </c>
      <c r="T67" s="7">
        <v>2</v>
      </c>
      <c r="U67" s="7">
        <v>2</v>
      </c>
      <c r="V67" s="7">
        <v>2</v>
      </c>
      <c r="W67" s="7">
        <v>2</v>
      </c>
      <c r="X67" s="7">
        <v>1</v>
      </c>
      <c r="Y67" s="7">
        <v>12</v>
      </c>
      <c r="Z67" s="7">
        <v>1163</v>
      </c>
      <c r="AA67" s="7">
        <v>11</v>
      </c>
      <c r="AB67" s="7">
        <v>0</v>
      </c>
      <c r="AC67" s="7">
        <v>0</v>
      </c>
      <c r="AD67" s="7">
        <v>0</v>
      </c>
      <c r="AE67" s="7">
        <v>0</v>
      </c>
      <c r="AF67" s="7">
        <v>113</v>
      </c>
      <c r="AG67" s="7">
        <v>113</v>
      </c>
    </row>
    <row r="68" spans="2:34" s="14" customFormat="1" x14ac:dyDescent="0.35">
      <c r="B68" s="1"/>
      <c r="C68" s="12">
        <f t="shared" ref="C68:O68" si="47">SUM(C66:C67)</f>
        <v>9187</v>
      </c>
      <c r="D68" s="12">
        <f t="shared" si="47"/>
        <v>8495</v>
      </c>
      <c r="E68" s="12">
        <f t="shared" si="47"/>
        <v>8095</v>
      </c>
      <c r="F68" s="12">
        <f t="shared" si="47"/>
        <v>9987</v>
      </c>
      <c r="G68" s="12">
        <f t="shared" si="47"/>
        <v>9229</v>
      </c>
      <c r="H68" s="12">
        <f t="shared" si="47"/>
        <v>9835</v>
      </c>
      <c r="I68" s="12">
        <f t="shared" si="47"/>
        <v>10487</v>
      </c>
      <c r="J68" s="12">
        <f t="shared" si="47"/>
        <v>11999</v>
      </c>
      <c r="K68" s="12">
        <f t="shared" si="47"/>
        <v>11294</v>
      </c>
      <c r="L68" s="12">
        <f t="shared" si="47"/>
        <v>9070</v>
      </c>
      <c r="M68" s="12">
        <f t="shared" si="47"/>
        <v>10961</v>
      </c>
      <c r="N68" s="12">
        <f t="shared" si="47"/>
        <v>14235</v>
      </c>
      <c r="O68" s="12">
        <f t="shared" si="47"/>
        <v>9630</v>
      </c>
      <c r="P68" s="12">
        <f t="shared" ref="P68:T68" si="48">SUM(P66:P67)</f>
        <v>9462</v>
      </c>
      <c r="Q68" s="12">
        <f t="shared" si="48"/>
        <v>9153</v>
      </c>
      <c r="R68" s="12">
        <v>9705</v>
      </c>
      <c r="S68" s="12">
        <f t="shared" si="48"/>
        <v>10555</v>
      </c>
      <c r="T68" s="12">
        <f t="shared" si="48"/>
        <v>12240</v>
      </c>
      <c r="U68" s="12">
        <f t="shared" ref="U68:V68" si="49">SUM(U66:U67)</f>
        <v>13911</v>
      </c>
      <c r="V68" s="12">
        <f t="shared" si="49"/>
        <v>13336</v>
      </c>
      <c r="W68" s="12">
        <f t="shared" ref="W68" si="50">SUM(W66:W67)</f>
        <v>13780</v>
      </c>
      <c r="X68" s="12">
        <f t="shared" ref="X68:Y68" si="51">SUM(X66:X67)</f>
        <v>13937</v>
      </c>
      <c r="Y68" s="12">
        <f t="shared" si="51"/>
        <v>15788</v>
      </c>
      <c r="Z68" s="12">
        <f t="shared" ref="Z68:AA68" si="52">SUM(Z66:Z67)</f>
        <v>20621</v>
      </c>
      <c r="AA68" s="12">
        <f t="shared" si="52"/>
        <v>15570</v>
      </c>
      <c r="AB68" s="12">
        <f t="shared" ref="AB68:AC68" si="53">SUM(AB66:AB67)</f>
        <v>15420</v>
      </c>
      <c r="AC68" s="12">
        <f t="shared" si="53"/>
        <v>15790</v>
      </c>
      <c r="AD68" s="12">
        <f t="shared" ref="AD68:AE68" si="54">SUM(AD66:AD67)</f>
        <v>16949</v>
      </c>
      <c r="AE68" s="12">
        <f t="shared" si="54"/>
        <v>15351</v>
      </c>
      <c r="AF68" s="12">
        <f t="shared" ref="AF68" si="55">SUM(AF66:AF67)</f>
        <v>13850</v>
      </c>
      <c r="AG68" s="12">
        <f t="shared" ref="AG68" si="56">SUM(AG66:AG67)</f>
        <v>14731.02</v>
      </c>
      <c r="AH68"/>
    </row>
    <row r="69" spans="2:34" x14ac:dyDescent="0.35">
      <c r="B69" s="1" t="s">
        <v>38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</row>
    <row r="70" spans="2:34" x14ac:dyDescent="0.35">
      <c r="B70" s="2" t="s">
        <v>26</v>
      </c>
      <c r="C70" s="7">
        <v>24614</v>
      </c>
      <c r="D70" s="7">
        <v>22666</v>
      </c>
      <c r="E70" s="7">
        <v>23712</v>
      </c>
      <c r="F70" s="7">
        <v>22631</v>
      </c>
      <c r="G70" s="7">
        <v>22511</v>
      </c>
      <c r="H70" s="7">
        <v>23956</v>
      </c>
      <c r="I70" s="7">
        <v>22757</v>
      </c>
      <c r="J70" s="7">
        <v>22057</v>
      </c>
      <c r="K70" s="7">
        <v>21277</v>
      </c>
      <c r="L70" s="7">
        <v>23504</v>
      </c>
      <c r="M70" s="7">
        <v>22760</v>
      </c>
      <c r="N70" s="7">
        <v>19160</v>
      </c>
      <c r="O70" s="7">
        <v>18604</v>
      </c>
      <c r="P70" s="7">
        <v>18193</v>
      </c>
      <c r="Q70" s="7">
        <v>19330</v>
      </c>
      <c r="R70" s="7">
        <v>18801</v>
      </c>
      <c r="S70" s="7">
        <v>24743</v>
      </c>
      <c r="T70" s="7">
        <v>26669</v>
      </c>
      <c r="U70" s="7">
        <v>25752</v>
      </c>
      <c r="V70" s="7">
        <v>23658</v>
      </c>
      <c r="W70" s="7">
        <v>25853</v>
      </c>
      <c r="X70" s="7">
        <v>23427</v>
      </c>
      <c r="Y70" s="7">
        <v>24900</v>
      </c>
      <c r="Z70" s="7">
        <v>24401</v>
      </c>
      <c r="AA70" s="7">
        <v>21304</v>
      </c>
      <c r="AB70" s="7">
        <v>23416</v>
      </c>
      <c r="AC70" s="7">
        <v>23072</v>
      </c>
      <c r="AD70" s="7">
        <v>22223</v>
      </c>
      <c r="AE70" s="7">
        <v>23214</v>
      </c>
      <c r="AF70" s="7">
        <v>22743</v>
      </c>
      <c r="AG70" s="7">
        <v>24316</v>
      </c>
    </row>
    <row r="71" spans="2:34" x14ac:dyDescent="0.35">
      <c r="B71" s="2" t="s">
        <v>7</v>
      </c>
      <c r="C71" s="7">
        <v>54</v>
      </c>
      <c r="D71" s="7">
        <v>592</v>
      </c>
      <c r="E71" s="7">
        <v>490</v>
      </c>
      <c r="F71" s="7">
        <v>342</v>
      </c>
      <c r="G71" s="7">
        <v>415</v>
      </c>
      <c r="H71" s="7">
        <v>366</v>
      </c>
      <c r="I71" s="7">
        <v>350</v>
      </c>
      <c r="J71" s="7">
        <v>83</v>
      </c>
      <c r="K71" s="7">
        <v>99</v>
      </c>
      <c r="L71" s="7">
        <v>123</v>
      </c>
      <c r="M71" s="7">
        <v>138</v>
      </c>
      <c r="N71" s="7">
        <v>78</v>
      </c>
      <c r="O71" s="7">
        <v>113</v>
      </c>
      <c r="P71" s="7">
        <v>572</v>
      </c>
      <c r="Q71" s="7">
        <v>703</v>
      </c>
      <c r="R71" s="7">
        <v>383</v>
      </c>
      <c r="S71" s="7">
        <v>1952</v>
      </c>
      <c r="T71" s="7">
        <v>1863</v>
      </c>
      <c r="U71" s="7">
        <v>1961</v>
      </c>
      <c r="V71" s="7">
        <v>2412</v>
      </c>
      <c r="W71" s="7">
        <v>702</v>
      </c>
      <c r="X71" s="7">
        <v>602</v>
      </c>
      <c r="Y71" s="7">
        <v>661</v>
      </c>
      <c r="Z71" s="7">
        <v>526</v>
      </c>
      <c r="AA71" s="7">
        <v>419</v>
      </c>
      <c r="AB71" s="7">
        <v>613</v>
      </c>
      <c r="AC71" s="7">
        <v>648</v>
      </c>
      <c r="AD71" s="7">
        <v>640</v>
      </c>
      <c r="AE71" s="7">
        <v>946</v>
      </c>
      <c r="AF71" s="7">
        <v>566</v>
      </c>
      <c r="AG71" s="7">
        <v>772</v>
      </c>
    </row>
    <row r="72" spans="2:34" x14ac:dyDescent="0.35">
      <c r="B72" s="2" t="s">
        <v>231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293</v>
      </c>
      <c r="AB72" s="7">
        <v>183</v>
      </c>
      <c r="AC72" s="7">
        <v>151</v>
      </c>
      <c r="AD72" s="7">
        <v>105</v>
      </c>
      <c r="AE72" s="7">
        <v>153</v>
      </c>
      <c r="AF72" s="7">
        <v>96</v>
      </c>
      <c r="AG72" s="7">
        <v>96</v>
      </c>
    </row>
    <row r="73" spans="2:34" x14ac:dyDescent="0.35">
      <c r="B73" s="28" t="s">
        <v>169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546</v>
      </c>
      <c r="P73" s="7">
        <v>583</v>
      </c>
      <c r="Q73" s="7">
        <v>682</v>
      </c>
      <c r="R73" s="7">
        <v>631</v>
      </c>
      <c r="S73" s="7">
        <v>677</v>
      </c>
      <c r="T73" s="7">
        <v>675</v>
      </c>
      <c r="U73" s="7">
        <v>663</v>
      </c>
      <c r="V73" s="7">
        <v>623</v>
      </c>
      <c r="W73" s="7">
        <v>680</v>
      </c>
      <c r="X73" s="7">
        <v>1070</v>
      </c>
      <c r="Y73" s="7">
        <v>1433</v>
      </c>
      <c r="Z73" s="7">
        <v>1221</v>
      </c>
      <c r="AA73" s="7">
        <v>1027</v>
      </c>
      <c r="AB73" s="7">
        <v>1090</v>
      </c>
      <c r="AC73" s="7">
        <v>1050</v>
      </c>
      <c r="AD73" s="7">
        <v>1071</v>
      </c>
      <c r="AE73" s="7">
        <v>995</v>
      </c>
      <c r="AF73" s="7">
        <v>922</v>
      </c>
      <c r="AG73" s="7">
        <v>974</v>
      </c>
    </row>
    <row r="74" spans="2:34" x14ac:dyDescent="0.35">
      <c r="B74" s="2" t="s">
        <v>17</v>
      </c>
      <c r="C74" s="7">
        <v>2078</v>
      </c>
      <c r="D74" s="7">
        <v>1897</v>
      </c>
      <c r="E74" s="7">
        <v>2046</v>
      </c>
      <c r="F74" s="7">
        <v>1983</v>
      </c>
      <c r="G74" s="7">
        <v>1879</v>
      </c>
      <c r="H74" s="7">
        <v>2007</v>
      </c>
      <c r="I74" s="7">
        <v>1947</v>
      </c>
      <c r="J74" s="7">
        <v>1965</v>
      </c>
      <c r="K74" s="7">
        <v>1957</v>
      </c>
      <c r="L74" s="7">
        <v>2183</v>
      </c>
      <c r="M74" s="7">
        <v>2262</v>
      </c>
      <c r="N74" s="7">
        <v>2194</v>
      </c>
      <c r="O74" s="7">
        <v>2345</v>
      </c>
      <c r="P74" s="7">
        <v>1985</v>
      </c>
      <c r="Q74" s="7">
        <v>1981</v>
      </c>
      <c r="R74" s="7">
        <v>2087</v>
      </c>
      <c r="S74" s="7">
        <v>2357</v>
      </c>
      <c r="T74" s="7">
        <v>2446</v>
      </c>
      <c r="U74" s="7">
        <v>2482</v>
      </c>
      <c r="V74" s="7">
        <v>2373</v>
      </c>
      <c r="W74" s="7">
        <v>2531</v>
      </c>
      <c r="X74" s="7">
        <v>2327</v>
      </c>
      <c r="Y74" s="7">
        <v>2507</v>
      </c>
      <c r="Z74" s="7">
        <v>3824</v>
      </c>
      <c r="AA74" s="7">
        <v>4086</v>
      </c>
      <c r="AB74" s="7">
        <v>4506</v>
      </c>
      <c r="AC74" s="7">
        <v>4173</v>
      </c>
      <c r="AD74" s="7">
        <v>3966</v>
      </c>
      <c r="AE74" s="7">
        <v>4281</v>
      </c>
      <c r="AF74" s="7">
        <v>4305</v>
      </c>
      <c r="AG74" s="7">
        <v>4494</v>
      </c>
    </row>
    <row r="75" spans="2:34" x14ac:dyDescent="0.35">
      <c r="B75" s="2" t="s">
        <v>18</v>
      </c>
      <c r="C75" s="7">
        <v>129</v>
      </c>
      <c r="D75" s="7">
        <v>129</v>
      </c>
      <c r="E75" s="7">
        <v>93</v>
      </c>
      <c r="F75" s="7">
        <v>22</v>
      </c>
      <c r="G75" s="7">
        <v>35</v>
      </c>
      <c r="H75" s="7">
        <v>25</v>
      </c>
      <c r="I75" s="7">
        <v>25</v>
      </c>
      <c r="J75" s="7">
        <v>25</v>
      </c>
      <c r="K75" s="7">
        <v>28</v>
      </c>
      <c r="L75" s="7">
        <v>21</v>
      </c>
      <c r="M75" s="7">
        <v>20</v>
      </c>
      <c r="N75" s="7">
        <v>136</v>
      </c>
      <c r="O75" s="7">
        <v>20</v>
      </c>
      <c r="P75" s="7">
        <v>37</v>
      </c>
      <c r="Q75" s="7">
        <v>22</v>
      </c>
      <c r="R75" s="7">
        <v>50</v>
      </c>
      <c r="S75" s="7">
        <v>18</v>
      </c>
      <c r="T75" s="7">
        <v>11</v>
      </c>
      <c r="U75" s="7">
        <v>11</v>
      </c>
      <c r="V75" s="7">
        <v>11</v>
      </c>
      <c r="W75" s="7">
        <v>19</v>
      </c>
      <c r="X75" s="7">
        <v>18</v>
      </c>
      <c r="Y75" s="7">
        <v>75</v>
      </c>
      <c r="Z75" s="7">
        <v>75</v>
      </c>
      <c r="AA75" s="7">
        <v>133</v>
      </c>
      <c r="AB75" s="7">
        <v>126</v>
      </c>
      <c r="AC75" s="7">
        <v>129</v>
      </c>
      <c r="AD75" s="7">
        <v>141</v>
      </c>
      <c r="AE75" s="7">
        <v>116</v>
      </c>
      <c r="AF75" s="7">
        <v>110</v>
      </c>
      <c r="AG75" s="7">
        <v>113</v>
      </c>
    </row>
    <row r="76" spans="2:34" x14ac:dyDescent="0.35">
      <c r="B76" s="2" t="s">
        <v>39</v>
      </c>
      <c r="C76" s="7">
        <v>2192</v>
      </c>
      <c r="D76" s="7">
        <v>2171</v>
      </c>
      <c r="E76" s="7">
        <v>2234</v>
      </c>
      <c r="F76" s="7">
        <v>2346</v>
      </c>
      <c r="G76" s="7">
        <v>2305</v>
      </c>
      <c r="H76" s="7">
        <v>2359</v>
      </c>
      <c r="I76" s="7">
        <v>2209</v>
      </c>
      <c r="J76" s="7">
        <v>2587</v>
      </c>
      <c r="K76" s="7">
        <v>2685</v>
      </c>
      <c r="L76" s="7">
        <v>2601</v>
      </c>
      <c r="M76" s="7">
        <v>2649</v>
      </c>
      <c r="N76" s="7">
        <v>2595</v>
      </c>
      <c r="O76" s="7">
        <v>2662</v>
      </c>
      <c r="P76" s="7">
        <v>2707</v>
      </c>
      <c r="Q76" s="7">
        <v>2720</v>
      </c>
      <c r="R76" s="7">
        <v>3137</v>
      </c>
      <c r="S76" s="7">
        <v>3451</v>
      </c>
      <c r="T76" s="7">
        <v>3499</v>
      </c>
      <c r="U76" s="7">
        <v>3606</v>
      </c>
      <c r="V76" s="7">
        <v>3586</v>
      </c>
      <c r="W76" s="7">
        <v>3842</v>
      </c>
      <c r="X76" s="7">
        <v>3857</v>
      </c>
      <c r="Y76" s="7">
        <v>3911</v>
      </c>
      <c r="Z76" s="7">
        <v>3606</v>
      </c>
      <c r="AA76" s="7">
        <v>3589</v>
      </c>
      <c r="AB76" s="7">
        <v>3607</v>
      </c>
      <c r="AC76" s="7">
        <v>3463</v>
      </c>
      <c r="AD76" s="7">
        <v>3529</v>
      </c>
      <c r="AE76" s="7">
        <v>3495</v>
      </c>
      <c r="AF76" s="7">
        <v>3606</v>
      </c>
      <c r="AG76" s="7">
        <v>3435</v>
      </c>
    </row>
    <row r="77" spans="2:34" x14ac:dyDescent="0.35">
      <c r="B77" s="2" t="s">
        <v>33</v>
      </c>
      <c r="C77" s="7">
        <v>1096</v>
      </c>
      <c r="D77" s="7">
        <v>1126</v>
      </c>
      <c r="E77" s="7">
        <v>1124</v>
      </c>
      <c r="F77" s="7">
        <v>1119</v>
      </c>
      <c r="G77" s="7">
        <v>1118</v>
      </c>
      <c r="H77" s="7">
        <v>1068</v>
      </c>
      <c r="I77" s="7">
        <v>1055</v>
      </c>
      <c r="J77" s="7">
        <v>1056</v>
      </c>
      <c r="K77" s="7">
        <v>1064</v>
      </c>
      <c r="L77" s="7">
        <v>1103</v>
      </c>
      <c r="M77" s="7">
        <v>1129</v>
      </c>
      <c r="N77" s="7">
        <v>1106</v>
      </c>
      <c r="O77" s="7">
        <v>1124</v>
      </c>
      <c r="P77" s="7">
        <v>1142</v>
      </c>
      <c r="Q77" s="7">
        <v>1121</v>
      </c>
      <c r="R77" s="7">
        <v>1151</v>
      </c>
      <c r="S77" s="7">
        <v>1159</v>
      </c>
      <c r="T77" s="7">
        <v>1181</v>
      </c>
      <c r="U77" s="7">
        <v>1297</v>
      </c>
      <c r="V77" s="7">
        <v>1400</v>
      </c>
      <c r="W77" s="7">
        <v>1442</v>
      </c>
      <c r="X77" s="7">
        <v>1519</v>
      </c>
      <c r="Y77" s="7">
        <v>1518</v>
      </c>
      <c r="Z77" s="7">
        <v>1692</v>
      </c>
      <c r="AA77" s="7">
        <v>1792</v>
      </c>
      <c r="AB77" s="7">
        <v>1822</v>
      </c>
      <c r="AC77" s="7">
        <v>1791</v>
      </c>
      <c r="AD77" s="7">
        <v>1744</v>
      </c>
      <c r="AE77" s="7">
        <v>1716</v>
      </c>
      <c r="AF77" s="7">
        <v>1649</v>
      </c>
      <c r="AG77" s="7">
        <v>1609</v>
      </c>
    </row>
    <row r="78" spans="2:34" x14ac:dyDescent="0.35">
      <c r="B78" s="2" t="s">
        <v>40</v>
      </c>
      <c r="C78" s="7">
        <v>288</v>
      </c>
      <c r="D78" s="7">
        <v>260</v>
      </c>
      <c r="E78" s="7">
        <v>263</v>
      </c>
      <c r="F78" s="7">
        <v>317</v>
      </c>
      <c r="G78" s="7">
        <v>313</v>
      </c>
      <c r="H78" s="7">
        <v>325</v>
      </c>
      <c r="I78" s="7">
        <v>321</v>
      </c>
      <c r="J78" s="7">
        <v>317</v>
      </c>
      <c r="K78" s="7">
        <v>332</v>
      </c>
      <c r="L78" s="7">
        <v>373</v>
      </c>
      <c r="M78" s="7">
        <v>363</v>
      </c>
      <c r="N78" s="7">
        <v>319</v>
      </c>
      <c r="O78" s="7">
        <v>324</v>
      </c>
      <c r="P78" s="7">
        <v>299</v>
      </c>
      <c r="Q78" s="7">
        <v>323</v>
      </c>
      <c r="R78" s="7">
        <v>367</v>
      </c>
      <c r="S78" s="7">
        <v>492</v>
      </c>
      <c r="T78" s="7">
        <v>532</v>
      </c>
      <c r="U78" s="7">
        <v>588</v>
      </c>
      <c r="V78" s="7">
        <v>524</v>
      </c>
      <c r="W78" s="7">
        <v>603</v>
      </c>
      <c r="X78" s="7">
        <v>478</v>
      </c>
      <c r="Y78" s="7">
        <v>550</v>
      </c>
      <c r="Z78" s="7">
        <v>563</v>
      </c>
      <c r="AA78" s="7">
        <v>502</v>
      </c>
      <c r="AB78" s="7">
        <v>529</v>
      </c>
      <c r="AC78" s="7">
        <v>522</v>
      </c>
      <c r="AD78" s="7">
        <v>417</v>
      </c>
      <c r="AE78" s="7">
        <v>405</v>
      </c>
      <c r="AF78" s="7">
        <v>394</v>
      </c>
      <c r="AG78" s="7">
        <v>395</v>
      </c>
    </row>
    <row r="79" spans="2:34" x14ac:dyDescent="0.35">
      <c r="B79" s="2" t="s">
        <v>204</v>
      </c>
      <c r="C79" s="7">
        <v>44</v>
      </c>
      <c r="D79" s="7">
        <v>24</v>
      </c>
      <c r="E79" s="7">
        <v>19</v>
      </c>
      <c r="F79" s="7">
        <v>10</v>
      </c>
      <c r="G79" s="7">
        <v>5</v>
      </c>
      <c r="H79" s="7">
        <v>29</v>
      </c>
      <c r="I79" s="7">
        <v>57</v>
      </c>
      <c r="J79" s="7">
        <v>207</v>
      </c>
      <c r="K79" s="7">
        <v>182</v>
      </c>
      <c r="L79" s="7">
        <v>176</v>
      </c>
      <c r="M79" s="7">
        <v>156</v>
      </c>
      <c r="N79" s="7">
        <v>161</v>
      </c>
      <c r="O79" s="7">
        <v>128</v>
      </c>
      <c r="P79" s="7">
        <v>92</v>
      </c>
      <c r="Q79" s="7">
        <v>88</v>
      </c>
      <c r="R79" s="7">
        <v>122</v>
      </c>
      <c r="S79" s="7">
        <v>138</v>
      </c>
      <c r="T79" s="7">
        <v>157</v>
      </c>
      <c r="U79" s="7">
        <v>177</v>
      </c>
      <c r="V79" s="7">
        <v>210</v>
      </c>
      <c r="W79" s="7">
        <v>202</v>
      </c>
      <c r="X79" s="7">
        <v>43</v>
      </c>
      <c r="Y79" s="7">
        <v>51</v>
      </c>
      <c r="Z79" s="7">
        <v>3063</v>
      </c>
      <c r="AA79" s="7">
        <v>81</v>
      </c>
      <c r="AB79" s="7">
        <v>77</v>
      </c>
      <c r="AC79" s="7">
        <v>68</v>
      </c>
      <c r="AD79" s="7">
        <v>94</v>
      </c>
      <c r="AE79" s="7">
        <v>66</v>
      </c>
      <c r="AF79" s="7">
        <v>126</v>
      </c>
      <c r="AG79" s="7">
        <v>101</v>
      </c>
    </row>
    <row r="80" spans="2:34" x14ac:dyDescent="0.35">
      <c r="B80" s="2" t="s">
        <v>34</v>
      </c>
      <c r="C80" s="7">
        <v>971</v>
      </c>
      <c r="D80" s="7">
        <v>885</v>
      </c>
      <c r="E80" s="7">
        <v>577</v>
      </c>
      <c r="F80" s="7">
        <v>515</v>
      </c>
      <c r="G80" s="7">
        <v>457</v>
      </c>
      <c r="H80" s="7">
        <v>391</v>
      </c>
      <c r="I80" s="7">
        <v>333</v>
      </c>
      <c r="J80" s="7">
        <v>272</v>
      </c>
      <c r="K80" s="7">
        <v>212</v>
      </c>
      <c r="L80" s="7">
        <v>151</v>
      </c>
      <c r="M80" s="7">
        <v>89</v>
      </c>
      <c r="N80" s="7">
        <v>29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7">
        <v>0</v>
      </c>
      <c r="AD80" s="7">
        <v>0</v>
      </c>
      <c r="AE80" s="7">
        <v>0</v>
      </c>
      <c r="AF80" s="7">
        <v>0</v>
      </c>
      <c r="AG80" s="7">
        <v>0</v>
      </c>
    </row>
    <row r="81" spans="2:34" x14ac:dyDescent="0.35">
      <c r="B81" s="2" t="s">
        <v>35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628</v>
      </c>
      <c r="J81" s="7">
        <v>630</v>
      </c>
      <c r="K81" s="7">
        <v>638</v>
      </c>
      <c r="L81" s="7">
        <v>696</v>
      </c>
      <c r="M81" s="7">
        <v>699</v>
      </c>
      <c r="N81" s="7">
        <v>650</v>
      </c>
      <c r="O81" s="7">
        <v>649</v>
      </c>
      <c r="P81" s="7">
        <v>612</v>
      </c>
      <c r="Q81" s="7">
        <v>673</v>
      </c>
      <c r="R81" s="7">
        <v>621</v>
      </c>
      <c r="S81" s="7">
        <v>768</v>
      </c>
      <c r="T81" s="7">
        <v>783</v>
      </c>
      <c r="U81" s="7">
        <v>792</v>
      </c>
      <c r="V81" s="7">
        <v>722</v>
      </c>
      <c r="W81" s="7">
        <v>742</v>
      </c>
      <c r="X81" s="7">
        <v>610</v>
      </c>
      <c r="Y81" s="7">
        <v>676</v>
      </c>
      <c r="Z81" s="7">
        <v>637</v>
      </c>
      <c r="AA81" s="7">
        <v>502</v>
      </c>
      <c r="AB81" s="7">
        <v>530</v>
      </c>
      <c r="AC81" s="7">
        <v>609</v>
      </c>
      <c r="AD81" s="7">
        <v>553</v>
      </c>
      <c r="AE81" s="7">
        <v>500</v>
      </c>
      <c r="AF81" s="7">
        <v>450</v>
      </c>
      <c r="AG81" s="7">
        <v>433</v>
      </c>
    </row>
    <row r="82" spans="2:34" x14ac:dyDescent="0.35">
      <c r="B82" s="2" t="s">
        <v>36</v>
      </c>
      <c r="C82" s="8">
        <v>240</v>
      </c>
      <c r="D82" s="8">
        <v>250</v>
      </c>
      <c r="E82" s="8">
        <v>564</v>
      </c>
      <c r="F82" s="7">
        <v>1503</v>
      </c>
      <c r="G82" s="7">
        <v>1411</v>
      </c>
      <c r="H82" s="7">
        <v>1409</v>
      </c>
      <c r="I82" s="7">
        <v>635</v>
      </c>
      <c r="J82" s="7">
        <v>656</v>
      </c>
      <c r="K82" s="7">
        <v>633</v>
      </c>
      <c r="L82" s="7">
        <v>647</v>
      </c>
      <c r="M82" s="7">
        <v>834</v>
      </c>
      <c r="N82" s="7">
        <v>924</v>
      </c>
      <c r="O82" s="7">
        <v>868</v>
      </c>
      <c r="P82" s="7">
        <v>806</v>
      </c>
      <c r="Q82" s="7">
        <v>803</v>
      </c>
      <c r="R82" s="7">
        <v>761</v>
      </c>
      <c r="S82" s="7">
        <v>789</v>
      </c>
      <c r="T82" s="7">
        <v>772</v>
      </c>
      <c r="U82" s="7">
        <v>825</v>
      </c>
      <c r="V82" s="7">
        <v>827</v>
      </c>
      <c r="W82" s="7">
        <v>756</v>
      </c>
      <c r="X82" s="7">
        <v>734</v>
      </c>
      <c r="Y82" s="7">
        <v>832</v>
      </c>
      <c r="Z82" s="7">
        <v>841</v>
      </c>
      <c r="AA82" s="7">
        <v>755</v>
      </c>
      <c r="AB82" s="7">
        <v>788</v>
      </c>
      <c r="AC82" s="7">
        <v>801</v>
      </c>
      <c r="AD82" s="7">
        <v>1022</v>
      </c>
      <c r="AE82" s="7">
        <v>1911</v>
      </c>
      <c r="AF82" s="7">
        <v>2153</v>
      </c>
      <c r="AG82" s="7">
        <v>2365</v>
      </c>
    </row>
    <row r="83" spans="2:34" s="14" customFormat="1" x14ac:dyDescent="0.35">
      <c r="B83" s="1"/>
      <c r="C83" s="12">
        <f t="shared" ref="C83:Q83" si="57">SUM(C70:C82)</f>
        <v>31706</v>
      </c>
      <c r="D83" s="12">
        <f t="shared" si="57"/>
        <v>30000</v>
      </c>
      <c r="E83" s="12">
        <f t="shared" si="57"/>
        <v>31122</v>
      </c>
      <c r="F83" s="12">
        <f t="shared" si="57"/>
        <v>30788</v>
      </c>
      <c r="G83" s="12">
        <f t="shared" si="57"/>
        <v>30449</v>
      </c>
      <c r="H83" s="12">
        <f t="shared" si="57"/>
        <v>31935</v>
      </c>
      <c r="I83" s="12">
        <f t="shared" si="57"/>
        <v>30317</v>
      </c>
      <c r="J83" s="12">
        <f t="shared" si="57"/>
        <v>29855</v>
      </c>
      <c r="K83" s="12">
        <f t="shared" si="57"/>
        <v>29107</v>
      </c>
      <c r="L83" s="12">
        <f t="shared" si="57"/>
        <v>31578</v>
      </c>
      <c r="M83" s="12">
        <f t="shared" si="57"/>
        <v>31099</v>
      </c>
      <c r="N83" s="12">
        <f t="shared" si="57"/>
        <v>27352</v>
      </c>
      <c r="O83" s="12">
        <f t="shared" si="57"/>
        <v>27383</v>
      </c>
      <c r="P83" s="12">
        <f t="shared" si="57"/>
        <v>27028</v>
      </c>
      <c r="Q83" s="12">
        <f t="shared" si="57"/>
        <v>28446</v>
      </c>
      <c r="R83" s="12">
        <v>28111</v>
      </c>
      <c r="S83" s="12">
        <f>SUM(S70:S82)</f>
        <v>36544</v>
      </c>
      <c r="T83" s="12">
        <f>SUM(T70:T82)</f>
        <v>38588</v>
      </c>
      <c r="U83" s="12">
        <f>SUM(U70:U82)</f>
        <v>38154</v>
      </c>
      <c r="V83" s="12">
        <f>SUM(V70:V82)</f>
        <v>36346</v>
      </c>
      <c r="W83" s="12">
        <f>SUM(W70:W82)</f>
        <v>37372</v>
      </c>
      <c r="X83" s="12">
        <f t="shared" ref="X83:Y83" si="58">SUM(X70:X82)</f>
        <v>34685</v>
      </c>
      <c r="Y83" s="12">
        <f t="shared" si="58"/>
        <v>37114</v>
      </c>
      <c r="Z83" s="12">
        <f t="shared" ref="Z83:AA83" si="59">SUM(Z70:Z82)</f>
        <v>40449</v>
      </c>
      <c r="AA83" s="12">
        <f t="shared" si="59"/>
        <v>34483</v>
      </c>
      <c r="AB83" s="12">
        <f t="shared" ref="AB83:AC83" si="60">SUM(AB70:AB82)</f>
        <v>37287</v>
      </c>
      <c r="AC83" s="12">
        <f t="shared" si="60"/>
        <v>36477</v>
      </c>
      <c r="AD83" s="12">
        <f t="shared" ref="AD83:AE83" si="61">SUM(AD70:AD82)</f>
        <v>35505</v>
      </c>
      <c r="AE83" s="12">
        <f t="shared" si="61"/>
        <v>37798</v>
      </c>
      <c r="AF83" s="12">
        <f t="shared" ref="AF83" si="62">SUM(AF70:AF82)</f>
        <v>37120</v>
      </c>
      <c r="AG83" s="12">
        <f t="shared" ref="AG83" si="63">SUM(AG70:AG82)</f>
        <v>39103</v>
      </c>
      <c r="AH83"/>
    </row>
    <row r="84" spans="2:34" s="14" customFormat="1" x14ac:dyDescent="0.35">
      <c r="B84" s="1" t="s">
        <v>41</v>
      </c>
      <c r="C84" s="12">
        <f t="shared" ref="C84:Q84" si="64">C68+C83</f>
        <v>40893</v>
      </c>
      <c r="D84" s="12">
        <f t="shared" si="64"/>
        <v>38495</v>
      </c>
      <c r="E84" s="12">
        <f t="shared" si="64"/>
        <v>39217</v>
      </c>
      <c r="F84" s="12">
        <f t="shared" si="64"/>
        <v>40775</v>
      </c>
      <c r="G84" s="12">
        <f t="shared" si="64"/>
        <v>39678</v>
      </c>
      <c r="H84" s="12">
        <f t="shared" si="64"/>
        <v>41770</v>
      </c>
      <c r="I84" s="12">
        <f t="shared" si="64"/>
        <v>40804</v>
      </c>
      <c r="J84" s="12">
        <f t="shared" si="64"/>
        <v>41854</v>
      </c>
      <c r="K84" s="12">
        <f t="shared" si="64"/>
        <v>40401</v>
      </c>
      <c r="L84" s="12">
        <f t="shared" si="64"/>
        <v>40648</v>
      </c>
      <c r="M84" s="12">
        <f t="shared" si="64"/>
        <v>42060</v>
      </c>
      <c r="N84" s="12">
        <f t="shared" si="64"/>
        <v>41587</v>
      </c>
      <c r="O84" s="12">
        <f t="shared" si="64"/>
        <v>37013</v>
      </c>
      <c r="P84" s="12">
        <f t="shared" si="64"/>
        <v>36490</v>
      </c>
      <c r="Q84" s="12">
        <f t="shared" si="64"/>
        <v>37599</v>
      </c>
      <c r="R84" s="12">
        <v>37816</v>
      </c>
      <c r="S84" s="12">
        <f>S68+S83</f>
        <v>47099</v>
      </c>
      <c r="T84" s="12">
        <f>T68+T83</f>
        <v>50828</v>
      </c>
      <c r="U84" s="12">
        <f>U68+U83</f>
        <v>52065</v>
      </c>
      <c r="V84" s="12">
        <f>V68+V83</f>
        <v>49682</v>
      </c>
      <c r="W84" s="12">
        <f>W68+W83</f>
        <v>51152</v>
      </c>
      <c r="X84" s="12">
        <f t="shared" ref="X84:Y84" si="65">X68+X83</f>
        <v>48622</v>
      </c>
      <c r="Y84" s="12">
        <f t="shared" si="65"/>
        <v>52902</v>
      </c>
      <c r="Z84" s="12">
        <f t="shared" ref="Z84:AA84" si="66">Z68+Z83</f>
        <v>61070</v>
      </c>
      <c r="AA84" s="12">
        <f t="shared" si="66"/>
        <v>50053</v>
      </c>
      <c r="AB84" s="12">
        <f t="shared" ref="AB84:AC84" si="67">AB68+AB83</f>
        <v>52707</v>
      </c>
      <c r="AC84" s="12">
        <f t="shared" si="67"/>
        <v>52267</v>
      </c>
      <c r="AD84" s="12">
        <f t="shared" ref="AD84:AE84" si="68">AD68+AD83</f>
        <v>52454</v>
      </c>
      <c r="AE84" s="12">
        <f t="shared" si="68"/>
        <v>53149</v>
      </c>
      <c r="AF84" s="12">
        <f t="shared" ref="AF84:AG84" si="69">AF68+AF83</f>
        <v>50970</v>
      </c>
      <c r="AG84" s="12">
        <f t="shared" si="69"/>
        <v>53834.020000000004</v>
      </c>
      <c r="AH84"/>
    </row>
    <row r="85" spans="2:34" x14ac:dyDescent="0.35">
      <c r="B85" s="2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</row>
    <row r="86" spans="2:34" x14ac:dyDescent="0.35">
      <c r="B86" s="1" t="s">
        <v>42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2:34" x14ac:dyDescent="0.35">
      <c r="B87" s="2" t="s">
        <v>43</v>
      </c>
      <c r="C87" s="7">
        <v>28656</v>
      </c>
      <c r="D87" s="7">
        <v>28656</v>
      </c>
      <c r="E87" s="7">
        <v>28656</v>
      </c>
      <c r="F87" s="7">
        <v>28656</v>
      </c>
      <c r="G87" s="7">
        <v>28656</v>
      </c>
      <c r="H87" s="7">
        <v>28656</v>
      </c>
      <c r="I87" s="7">
        <v>28656</v>
      </c>
      <c r="J87" s="7">
        <v>28656</v>
      </c>
      <c r="K87" s="7">
        <v>28656</v>
      </c>
      <c r="L87" s="7">
        <v>28656</v>
      </c>
      <c r="M87" s="7">
        <v>28656</v>
      </c>
      <c r="N87" s="7">
        <v>28656</v>
      </c>
      <c r="O87" s="7">
        <v>28656</v>
      </c>
      <c r="P87" s="7">
        <v>28656</v>
      </c>
      <c r="Q87" s="7">
        <v>28656</v>
      </c>
      <c r="R87" s="7">
        <v>28656</v>
      </c>
      <c r="S87" s="7">
        <v>28656</v>
      </c>
      <c r="T87" s="7">
        <v>28656</v>
      </c>
      <c r="U87" s="7">
        <v>28656</v>
      </c>
      <c r="V87" s="7">
        <v>28656</v>
      </c>
      <c r="W87" s="7">
        <v>28656</v>
      </c>
      <c r="X87" s="7">
        <v>28656</v>
      </c>
      <c r="Y87" s="7">
        <v>28656</v>
      </c>
      <c r="Z87" s="7">
        <v>28656</v>
      </c>
      <c r="AA87" s="7">
        <v>28656</v>
      </c>
      <c r="AB87" s="7">
        <v>28656</v>
      </c>
      <c r="AC87" s="7">
        <v>28656</v>
      </c>
      <c r="AD87" s="7">
        <v>28656</v>
      </c>
      <c r="AE87" s="7">
        <v>28656</v>
      </c>
      <c r="AF87" s="7">
        <v>28656</v>
      </c>
      <c r="AG87" s="7">
        <v>28656</v>
      </c>
    </row>
    <row r="88" spans="2:34" x14ac:dyDescent="0.35">
      <c r="B88" s="2" t="s">
        <v>44</v>
      </c>
      <c r="C88" s="7">
        <v>7436</v>
      </c>
      <c r="D88" s="7">
        <v>7549</v>
      </c>
      <c r="E88" s="7">
        <v>7549</v>
      </c>
      <c r="F88" s="7">
        <v>6254</v>
      </c>
      <c r="G88" s="7">
        <v>6241</v>
      </c>
      <c r="H88" s="7">
        <v>6121</v>
      </c>
      <c r="I88" s="7">
        <v>6119</v>
      </c>
      <c r="J88" s="7">
        <v>6569</v>
      </c>
      <c r="K88" s="7">
        <v>6069</v>
      </c>
      <c r="L88" s="7">
        <v>6181</v>
      </c>
      <c r="M88" s="7">
        <v>5925</v>
      </c>
      <c r="N88" s="7">
        <v>7243</v>
      </c>
      <c r="O88" s="7">
        <v>6048</v>
      </c>
      <c r="P88" s="7">
        <v>6028</v>
      </c>
      <c r="Q88" s="7">
        <v>6028</v>
      </c>
      <c r="R88" s="7">
        <v>11165</v>
      </c>
      <c r="S88" s="7">
        <v>10800</v>
      </c>
      <c r="T88" s="7">
        <v>10800</v>
      </c>
      <c r="U88" s="7">
        <v>11241</v>
      </c>
      <c r="V88" s="7">
        <v>8806</v>
      </c>
      <c r="W88" s="7">
        <v>8806</v>
      </c>
      <c r="X88" s="7">
        <v>8806</v>
      </c>
      <c r="Y88" s="7">
        <v>8806</v>
      </c>
      <c r="Z88" s="7">
        <v>14740</v>
      </c>
      <c r="AA88" s="7">
        <v>14007</v>
      </c>
      <c r="AB88" s="7">
        <v>15825</v>
      </c>
      <c r="AC88" s="7">
        <v>15276</v>
      </c>
      <c r="AD88" s="7">
        <v>18977</v>
      </c>
      <c r="AE88" s="7">
        <v>18305</v>
      </c>
      <c r="AF88" s="7">
        <v>19436</v>
      </c>
      <c r="AG88" s="7">
        <v>18806</v>
      </c>
    </row>
    <row r="89" spans="2:34" x14ac:dyDescent="0.35">
      <c r="B89" s="28" t="s">
        <v>123</v>
      </c>
      <c r="C89" s="7">
        <v>148</v>
      </c>
      <c r="D89" s="7">
        <v>402</v>
      </c>
      <c r="E89" s="7">
        <v>505</v>
      </c>
      <c r="F89" s="7">
        <v>0</v>
      </c>
      <c r="G89" s="16">
        <v>-573</v>
      </c>
      <c r="H89" s="7">
        <v>10</v>
      </c>
      <c r="I89" s="7">
        <v>479</v>
      </c>
      <c r="J89" s="7">
        <v>0</v>
      </c>
      <c r="K89" s="16">
        <v>-322</v>
      </c>
      <c r="L89" s="16">
        <v>-228</v>
      </c>
      <c r="M89" s="16">
        <v>-44</v>
      </c>
      <c r="N89" s="7">
        <v>0</v>
      </c>
      <c r="O89" s="7">
        <v>4388</v>
      </c>
      <c r="P89" s="52">
        <v>4577</v>
      </c>
      <c r="Q89" s="7">
        <v>4487</v>
      </c>
      <c r="R89" s="7">
        <v>0</v>
      </c>
      <c r="S89" s="7">
        <v>-2189</v>
      </c>
      <c r="T89" s="7">
        <v>-2611</v>
      </c>
      <c r="U89" s="7">
        <v>-2877</v>
      </c>
      <c r="V89" s="7">
        <v>0</v>
      </c>
      <c r="W89" s="7">
        <v>519</v>
      </c>
      <c r="X89" s="7">
        <v>2461</v>
      </c>
      <c r="Y89" s="7">
        <v>3478</v>
      </c>
      <c r="Z89" s="7">
        <v>0</v>
      </c>
      <c r="AA89" s="7">
        <v>1445</v>
      </c>
      <c r="AB89" s="7">
        <v>2614</v>
      </c>
      <c r="AC89" s="7">
        <v>3744</v>
      </c>
      <c r="AD89" s="7">
        <v>0</v>
      </c>
      <c r="AE89" s="7">
        <v>478</v>
      </c>
      <c r="AF89" s="7">
        <v>640</v>
      </c>
      <c r="AG89" s="7">
        <v>967</v>
      </c>
    </row>
    <row r="90" spans="2:34" x14ac:dyDescent="0.35">
      <c r="B90" s="2" t="s">
        <v>45</v>
      </c>
      <c r="C90" s="7">
        <v>1962</v>
      </c>
      <c r="D90" s="7">
        <v>1157</v>
      </c>
      <c r="E90" s="7">
        <v>1247</v>
      </c>
      <c r="F90" s="7">
        <v>1255</v>
      </c>
      <c r="G90" s="7">
        <v>831</v>
      </c>
      <c r="H90" s="7">
        <v>1412</v>
      </c>
      <c r="I90" s="7">
        <v>931</v>
      </c>
      <c r="J90" s="7">
        <v>733</v>
      </c>
      <c r="K90" s="7">
        <v>873</v>
      </c>
      <c r="L90" s="7">
        <v>1771</v>
      </c>
      <c r="M90" s="7">
        <v>1765</v>
      </c>
      <c r="N90" s="7">
        <v>1937</v>
      </c>
      <c r="O90" s="7">
        <v>1907</v>
      </c>
      <c r="P90" s="7">
        <v>1009</v>
      </c>
      <c r="Q90" s="7">
        <v>1604</v>
      </c>
      <c r="R90" s="7">
        <v>1948</v>
      </c>
      <c r="S90" s="7">
        <v>4364</v>
      </c>
      <c r="T90" s="7">
        <v>5140</v>
      </c>
      <c r="U90" s="7">
        <v>5781</v>
      </c>
      <c r="V90" s="7">
        <v>4879</v>
      </c>
      <c r="W90" s="7">
        <v>6281</v>
      </c>
      <c r="X90" s="7">
        <v>5711</v>
      </c>
      <c r="Y90" s="7">
        <v>7409</v>
      </c>
      <c r="Z90" s="7">
        <v>6518</v>
      </c>
      <c r="AA90" s="7">
        <v>3580</v>
      </c>
      <c r="AB90" s="7">
        <v>5135</v>
      </c>
      <c r="AC90" s="7">
        <v>5293</v>
      </c>
      <c r="AD90" s="7">
        <v>5236</v>
      </c>
      <c r="AE90" s="7">
        <v>4850</v>
      </c>
      <c r="AF90" s="7">
        <v>4097</v>
      </c>
      <c r="AG90" s="7">
        <v>4561</v>
      </c>
    </row>
    <row r="91" spans="2:34" s="14" customFormat="1" x14ac:dyDescent="0.35">
      <c r="B91" s="1" t="s">
        <v>46</v>
      </c>
      <c r="C91" s="15">
        <f t="shared" ref="C91:O91" si="70">SUM(C87:C90)</f>
        <v>38202</v>
      </c>
      <c r="D91" s="15">
        <f t="shared" si="70"/>
        <v>37764</v>
      </c>
      <c r="E91" s="15">
        <f t="shared" si="70"/>
        <v>37957</v>
      </c>
      <c r="F91" s="15">
        <f t="shared" si="70"/>
        <v>36165</v>
      </c>
      <c r="G91" s="15">
        <f t="shared" si="70"/>
        <v>35155</v>
      </c>
      <c r="H91" s="15">
        <f t="shared" si="70"/>
        <v>36199</v>
      </c>
      <c r="I91" s="15">
        <f t="shared" si="70"/>
        <v>36185</v>
      </c>
      <c r="J91" s="15">
        <f t="shared" si="70"/>
        <v>35958</v>
      </c>
      <c r="K91" s="15">
        <f t="shared" si="70"/>
        <v>35276</v>
      </c>
      <c r="L91" s="15">
        <f t="shared" si="70"/>
        <v>36380</v>
      </c>
      <c r="M91" s="15">
        <f t="shared" si="70"/>
        <v>36302</v>
      </c>
      <c r="N91" s="15">
        <f t="shared" si="70"/>
        <v>37836</v>
      </c>
      <c r="O91" s="15">
        <f t="shared" si="70"/>
        <v>40999</v>
      </c>
      <c r="P91" s="15">
        <f>SUM(P87:P90)</f>
        <v>40270</v>
      </c>
      <c r="Q91" s="15">
        <f t="shared" ref="Q91:T91" si="71">SUM(Q87:Q90)</f>
        <v>40775</v>
      </c>
      <c r="R91" s="15">
        <v>41769</v>
      </c>
      <c r="S91" s="15">
        <f t="shared" si="71"/>
        <v>41631</v>
      </c>
      <c r="T91" s="15">
        <f t="shared" si="71"/>
        <v>41985</v>
      </c>
      <c r="U91" s="15">
        <f t="shared" ref="U91:V91" si="72">SUM(U87:U90)</f>
        <v>42801</v>
      </c>
      <c r="V91" s="15">
        <f t="shared" si="72"/>
        <v>42341</v>
      </c>
      <c r="W91" s="15">
        <f t="shared" ref="W91" si="73">SUM(W87:W90)</f>
        <v>44262</v>
      </c>
      <c r="X91" s="15">
        <f t="shared" ref="X91:Y91" si="74">SUM(X87:X90)</f>
        <v>45634</v>
      </c>
      <c r="Y91" s="15">
        <f t="shared" si="74"/>
        <v>48349</v>
      </c>
      <c r="Z91" s="15">
        <f t="shared" ref="Z91:AA91" si="75">SUM(Z87:Z90)</f>
        <v>49914</v>
      </c>
      <c r="AA91" s="15">
        <f t="shared" si="75"/>
        <v>47688</v>
      </c>
      <c r="AB91" s="15">
        <f t="shared" ref="AB91:AC91" si="76">SUM(AB87:AB90)</f>
        <v>52230</v>
      </c>
      <c r="AC91" s="15">
        <f t="shared" si="76"/>
        <v>52969</v>
      </c>
      <c r="AD91" s="15">
        <f t="shared" ref="AD91:AE91" si="77">SUM(AD87:AD90)</f>
        <v>52869</v>
      </c>
      <c r="AE91" s="15">
        <f t="shared" si="77"/>
        <v>52289</v>
      </c>
      <c r="AF91" s="15">
        <f t="shared" ref="AF91" si="78">SUM(AF87:AF90)</f>
        <v>52829</v>
      </c>
      <c r="AG91" s="15">
        <f t="shared" ref="AG91" si="79">SUM(AG87:AG90)</f>
        <v>52990</v>
      </c>
      <c r="AH91"/>
    </row>
    <row r="92" spans="2:34" x14ac:dyDescent="0.35">
      <c r="B92" s="2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2:34" x14ac:dyDescent="0.35">
      <c r="B93" s="2" t="s">
        <v>132</v>
      </c>
      <c r="C93" s="7">
        <v>3772</v>
      </c>
      <c r="D93" s="7">
        <v>2896</v>
      </c>
      <c r="E93" s="7">
        <v>2984</v>
      </c>
      <c r="F93" s="7">
        <v>2658</v>
      </c>
      <c r="G93" s="7">
        <v>2680</v>
      </c>
      <c r="H93" s="7">
        <v>2719</v>
      </c>
      <c r="I93" s="7">
        <v>2442</v>
      </c>
      <c r="J93" s="7">
        <v>4857</v>
      </c>
      <c r="K93" s="7">
        <v>4890</v>
      </c>
      <c r="L93" s="7">
        <v>5550</v>
      </c>
      <c r="M93" s="7">
        <v>5759</v>
      </c>
      <c r="N93" s="7">
        <v>5623</v>
      </c>
      <c r="O93" s="7">
        <v>5505</v>
      </c>
      <c r="P93" s="7">
        <v>5392</v>
      </c>
      <c r="Q93" s="7">
        <v>5563</v>
      </c>
      <c r="R93" s="7">
        <v>5138</v>
      </c>
      <c r="S93" s="7">
        <v>4791</v>
      </c>
      <c r="T93" s="7">
        <v>4688</v>
      </c>
      <c r="U93" s="7">
        <v>4743</v>
      </c>
      <c r="V93" s="7">
        <v>4455</v>
      </c>
      <c r="W93" s="7">
        <v>4793</v>
      </c>
      <c r="X93" s="7">
        <v>5818</v>
      </c>
      <c r="Y93" s="7">
        <v>7243</v>
      </c>
      <c r="Z93" s="7">
        <v>7374</v>
      </c>
      <c r="AA93" s="7">
        <v>7434</v>
      </c>
      <c r="AB93" s="7">
        <v>8375</v>
      </c>
      <c r="AC93" s="7">
        <v>8484</v>
      </c>
      <c r="AD93" s="7">
        <v>8024</v>
      </c>
      <c r="AE93" s="7">
        <v>7904</v>
      </c>
      <c r="AF93" s="7">
        <v>7472</v>
      </c>
      <c r="AG93" s="7">
        <v>7436</v>
      </c>
    </row>
    <row r="94" spans="2:34" x14ac:dyDescent="0.35">
      <c r="B94" s="2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</row>
    <row r="95" spans="2:34" s="14" customFormat="1" x14ac:dyDescent="0.35">
      <c r="B95" s="1" t="s">
        <v>47</v>
      </c>
      <c r="C95" s="12">
        <f t="shared" ref="C95:O95" si="80">C91+C93</f>
        <v>41974</v>
      </c>
      <c r="D95" s="12">
        <f t="shared" si="80"/>
        <v>40660</v>
      </c>
      <c r="E95" s="12">
        <f t="shared" si="80"/>
        <v>40941</v>
      </c>
      <c r="F95" s="12">
        <f t="shared" si="80"/>
        <v>38823</v>
      </c>
      <c r="G95" s="12">
        <f t="shared" si="80"/>
        <v>37835</v>
      </c>
      <c r="H95" s="12">
        <f t="shared" si="80"/>
        <v>38918</v>
      </c>
      <c r="I95" s="12">
        <f t="shared" si="80"/>
        <v>38627</v>
      </c>
      <c r="J95" s="12">
        <f t="shared" si="80"/>
        <v>40815</v>
      </c>
      <c r="K95" s="12">
        <f t="shared" si="80"/>
        <v>40166</v>
      </c>
      <c r="L95" s="12">
        <f t="shared" si="80"/>
        <v>41930</v>
      </c>
      <c r="M95" s="12">
        <f t="shared" si="80"/>
        <v>42061</v>
      </c>
      <c r="N95" s="12">
        <f t="shared" si="80"/>
        <v>43459</v>
      </c>
      <c r="O95" s="12">
        <f t="shared" si="80"/>
        <v>46504</v>
      </c>
      <c r="P95" s="12">
        <f>P91+P93</f>
        <v>45662</v>
      </c>
      <c r="Q95" s="12">
        <f t="shared" ref="Q95:T95" si="81">Q91+Q93</f>
        <v>46338</v>
      </c>
      <c r="R95" s="12">
        <v>46907</v>
      </c>
      <c r="S95" s="12">
        <f t="shared" si="81"/>
        <v>46422</v>
      </c>
      <c r="T95" s="12">
        <f t="shared" si="81"/>
        <v>46673</v>
      </c>
      <c r="U95" s="12">
        <f t="shared" ref="U95:V95" si="82">U91+U93</f>
        <v>47544</v>
      </c>
      <c r="V95" s="12">
        <f t="shared" si="82"/>
        <v>46796</v>
      </c>
      <c r="W95" s="12">
        <f t="shared" ref="W95:Y95" si="83">W91+W93</f>
        <v>49055</v>
      </c>
      <c r="X95" s="12">
        <f t="shared" si="83"/>
        <v>51452</v>
      </c>
      <c r="Y95" s="12">
        <f t="shared" si="83"/>
        <v>55592</v>
      </c>
      <c r="Z95" s="12">
        <f t="shared" ref="Z95:AA95" si="84">Z91+Z93</f>
        <v>57288</v>
      </c>
      <c r="AA95" s="12">
        <f t="shared" si="84"/>
        <v>55122</v>
      </c>
      <c r="AB95" s="12">
        <f t="shared" ref="AB95:AC95" si="85">AB91+AB93</f>
        <v>60605</v>
      </c>
      <c r="AC95" s="12">
        <f t="shared" si="85"/>
        <v>61453</v>
      </c>
      <c r="AD95" s="12">
        <f t="shared" ref="AD95:AE95" si="86">AD91+AD93</f>
        <v>60893</v>
      </c>
      <c r="AE95" s="12">
        <f t="shared" si="86"/>
        <v>60193</v>
      </c>
      <c r="AF95" s="12">
        <f t="shared" ref="AF95:AG95" si="87">AF91+AF93</f>
        <v>60301</v>
      </c>
      <c r="AG95" s="12">
        <f t="shared" si="87"/>
        <v>60426</v>
      </c>
      <c r="AH95"/>
    </row>
    <row r="96" spans="2:34" x14ac:dyDescent="0.35">
      <c r="B96" s="2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</row>
    <row r="97" spans="2:34" s="14" customFormat="1" ht="15" thickBot="1" x14ac:dyDescent="0.4">
      <c r="B97" s="1" t="s">
        <v>48</v>
      </c>
      <c r="C97" s="13">
        <f t="shared" ref="C97:O97" si="88">C95+C84</f>
        <v>82867</v>
      </c>
      <c r="D97" s="13">
        <f t="shared" si="88"/>
        <v>79155</v>
      </c>
      <c r="E97" s="13">
        <f t="shared" si="88"/>
        <v>80158</v>
      </c>
      <c r="F97" s="13">
        <f t="shared" si="88"/>
        <v>79598</v>
      </c>
      <c r="G97" s="13">
        <f t="shared" si="88"/>
        <v>77513</v>
      </c>
      <c r="H97" s="13">
        <f t="shared" si="88"/>
        <v>80688</v>
      </c>
      <c r="I97" s="13">
        <f t="shared" si="88"/>
        <v>79431</v>
      </c>
      <c r="J97" s="13">
        <f t="shared" si="88"/>
        <v>82669</v>
      </c>
      <c r="K97" s="13">
        <f t="shared" si="88"/>
        <v>80567</v>
      </c>
      <c r="L97" s="13">
        <f t="shared" si="88"/>
        <v>82578</v>
      </c>
      <c r="M97" s="13">
        <f t="shared" si="88"/>
        <v>84121</v>
      </c>
      <c r="N97" s="13">
        <f t="shared" si="88"/>
        <v>85046</v>
      </c>
      <c r="O97" s="13">
        <f t="shared" si="88"/>
        <v>83517</v>
      </c>
      <c r="P97" s="13">
        <f>P95+P84</f>
        <v>82152</v>
      </c>
      <c r="Q97" s="13">
        <f t="shared" ref="Q97:T97" si="89">Q95+Q84</f>
        <v>83937</v>
      </c>
      <c r="R97" s="13">
        <v>84723</v>
      </c>
      <c r="S97" s="13">
        <f t="shared" si="89"/>
        <v>93521</v>
      </c>
      <c r="T97" s="13">
        <f t="shared" si="89"/>
        <v>97501</v>
      </c>
      <c r="U97" s="13">
        <f t="shared" ref="U97:V97" si="90">U95+U84</f>
        <v>99609</v>
      </c>
      <c r="V97" s="13">
        <f t="shared" si="90"/>
        <v>96478</v>
      </c>
      <c r="W97" s="13">
        <f t="shared" ref="W97:Y97" si="91">W95+W84</f>
        <v>100207</v>
      </c>
      <c r="X97" s="13">
        <f t="shared" si="91"/>
        <v>100074</v>
      </c>
      <c r="Y97" s="13">
        <f t="shared" si="91"/>
        <v>108494</v>
      </c>
      <c r="Z97" s="13">
        <f t="shared" ref="Z97:AA97" si="92">Z95+Z84</f>
        <v>118358</v>
      </c>
      <c r="AA97" s="13">
        <f t="shared" si="92"/>
        <v>105175</v>
      </c>
      <c r="AB97" s="13">
        <f t="shared" ref="AB97:AC97" si="93">AB95+AB84</f>
        <v>113312</v>
      </c>
      <c r="AC97" s="13">
        <f t="shared" si="93"/>
        <v>113720</v>
      </c>
      <c r="AD97" s="13">
        <f t="shared" ref="AD97:AE97" si="94">AD95+AD84</f>
        <v>113347</v>
      </c>
      <c r="AE97" s="13">
        <f t="shared" si="94"/>
        <v>113342</v>
      </c>
      <c r="AF97" s="13">
        <f t="shared" ref="AF97:AG97" si="95">AF95+AF84</f>
        <v>111271</v>
      </c>
      <c r="AG97" s="13">
        <f t="shared" si="95"/>
        <v>114260.02</v>
      </c>
      <c r="AH97"/>
    </row>
    <row r="98" spans="2:34" ht="15" thickTop="1" x14ac:dyDescent="0.3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2:34" x14ac:dyDescent="0.35"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</row>
    <row r="100" spans="2:34" x14ac:dyDescent="0.3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</row>
    <row r="101" spans="2:34" x14ac:dyDescent="0.3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2:34" x14ac:dyDescent="0.3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2:34" x14ac:dyDescent="0.3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2:34" x14ac:dyDescent="0.3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2:34" x14ac:dyDescent="0.3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2:34" x14ac:dyDescent="0.3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2:34" x14ac:dyDescent="0.3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2:34" x14ac:dyDescent="0.3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2:34" x14ac:dyDescent="0.3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2:34" x14ac:dyDescent="0.3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2:34" x14ac:dyDescent="0.3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2:34" x14ac:dyDescent="0.3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3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3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3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3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3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3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 x14ac:dyDescent="0.3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 x14ac:dyDescent="0.3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 x14ac:dyDescent="0.3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 x14ac:dyDescent="0.3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3:14" x14ac:dyDescent="0.35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3:14" x14ac:dyDescent="0.35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</row>
  </sheetData>
  <mergeCells count="8">
    <mergeCell ref="AE4:AF5"/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O53"/>
  <sheetViews>
    <sheetView showGridLines="0" zoomScale="85" zoomScaleNormal="85" workbookViewId="0">
      <pane xSplit="2" ySplit="6" topLeftCell="AI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5" x14ac:dyDescent="0.35"/>
  <cols>
    <col min="1" max="1" width="3.36328125" customWidth="1"/>
    <col min="2" max="2" width="83.36328125" bestFit="1" customWidth="1"/>
    <col min="3" max="41" width="18" customWidth="1"/>
    <col min="42" max="42" width="12" bestFit="1" customWidth="1"/>
  </cols>
  <sheetData>
    <row r="4" spans="2:41" ht="15" customHeight="1" x14ac:dyDescent="0.35">
      <c r="B4" s="3"/>
      <c r="C4" s="112" t="s">
        <v>0</v>
      </c>
      <c r="D4" s="112"/>
      <c r="E4" s="112"/>
      <c r="F4" s="112"/>
      <c r="G4" s="112"/>
      <c r="H4" s="113" t="s">
        <v>1</v>
      </c>
      <c r="I4" s="113"/>
      <c r="J4" s="113"/>
      <c r="K4" s="113"/>
      <c r="L4" s="113"/>
      <c r="M4" s="113" t="s">
        <v>2</v>
      </c>
      <c r="N4" s="113"/>
      <c r="O4" s="113"/>
      <c r="P4" s="113"/>
      <c r="Q4" s="113"/>
      <c r="R4" s="111">
        <v>2019</v>
      </c>
      <c r="S4" s="111"/>
      <c r="T4" s="111"/>
      <c r="U4" s="111"/>
      <c r="V4" s="111"/>
      <c r="W4" s="111">
        <v>2020</v>
      </c>
      <c r="X4" s="111"/>
      <c r="Y4" s="111"/>
      <c r="Z4" s="111"/>
      <c r="AA4" s="111"/>
      <c r="AB4" s="111">
        <v>2021</v>
      </c>
      <c r="AC4" s="111"/>
      <c r="AD4" s="111"/>
      <c r="AE4" s="111"/>
      <c r="AF4" s="111"/>
      <c r="AG4" s="111">
        <v>2022</v>
      </c>
      <c r="AH4" s="111"/>
      <c r="AI4" s="111"/>
      <c r="AJ4" s="111"/>
      <c r="AK4" s="111"/>
      <c r="AL4" s="111">
        <v>2023</v>
      </c>
      <c r="AM4" s="111"/>
      <c r="AN4" s="111"/>
      <c r="AO4" s="111"/>
    </row>
    <row r="5" spans="2:41" ht="15.5" x14ac:dyDescent="0.35">
      <c r="B5" s="4" t="s">
        <v>165</v>
      </c>
      <c r="C5" s="112"/>
      <c r="D5" s="112"/>
      <c r="E5" s="112"/>
      <c r="F5" s="112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</row>
    <row r="6" spans="2:41" ht="17.5" x14ac:dyDescent="0.3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170</v>
      </c>
      <c r="S6" s="6" t="s">
        <v>171</v>
      </c>
      <c r="T6" s="6" t="s">
        <v>179</v>
      </c>
      <c r="U6" s="6" t="s">
        <v>197</v>
      </c>
      <c r="V6" s="68" t="s">
        <v>198</v>
      </c>
      <c r="W6" s="6" t="s">
        <v>217</v>
      </c>
      <c r="X6" s="6" t="s">
        <v>218</v>
      </c>
      <c r="Y6" s="6" t="s">
        <v>219</v>
      </c>
      <c r="Z6" s="6" t="s">
        <v>220</v>
      </c>
      <c r="AA6" s="68" t="s">
        <v>195</v>
      </c>
      <c r="AB6" s="68" t="s">
        <v>221</v>
      </c>
      <c r="AC6" s="68" t="s">
        <v>222</v>
      </c>
      <c r="AD6" s="68" t="s">
        <v>223</v>
      </c>
      <c r="AE6" s="68" t="s">
        <v>224</v>
      </c>
      <c r="AF6" s="34">
        <v>2021</v>
      </c>
      <c r="AG6" s="68" t="s">
        <v>232</v>
      </c>
      <c r="AH6" s="68" t="s">
        <v>239</v>
      </c>
      <c r="AI6" s="68" t="s">
        <v>242</v>
      </c>
      <c r="AJ6" s="68" t="s">
        <v>244</v>
      </c>
      <c r="AK6" s="34">
        <v>2022</v>
      </c>
      <c r="AL6" s="68" t="s">
        <v>247</v>
      </c>
      <c r="AM6" s="68" t="s">
        <v>248</v>
      </c>
      <c r="AN6" s="68" t="s">
        <v>250</v>
      </c>
      <c r="AO6" s="34">
        <v>2023</v>
      </c>
    </row>
    <row r="7" spans="2:41" x14ac:dyDescent="0.35">
      <c r="B7" s="1" t="s">
        <v>49</v>
      </c>
      <c r="G7" s="35"/>
      <c r="L7" s="35"/>
      <c r="Q7" s="51"/>
      <c r="V7" s="51"/>
      <c r="AA7" s="51"/>
      <c r="AF7" s="51"/>
      <c r="AK7" s="51"/>
      <c r="AO7" s="51"/>
    </row>
    <row r="8" spans="2:41" x14ac:dyDescent="0.35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6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6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6">
        <v>30931</v>
      </c>
      <c r="R8" s="7">
        <v>6720</v>
      </c>
      <c r="S8" s="7">
        <v>7853</v>
      </c>
      <c r="T8" s="56">
        <v>8268</v>
      </c>
      <c r="U8" s="56">
        <f>V8-SUM(R8:T8)</f>
        <v>8066</v>
      </c>
      <c r="V8" s="69">
        <v>30907</v>
      </c>
      <c r="W8" s="98">
        <v>6594</v>
      </c>
      <c r="X8" s="98">
        <v>7369</v>
      </c>
      <c r="Y8" s="98">
        <v>10297</v>
      </c>
      <c r="Z8" s="56">
        <v>11123</v>
      </c>
      <c r="AA8" s="69">
        <v>35383</v>
      </c>
      <c r="AB8" s="56">
        <v>9820</v>
      </c>
      <c r="AC8" s="56">
        <v>12243</v>
      </c>
      <c r="AD8" s="56">
        <v>13388</v>
      </c>
      <c r="AE8" s="56">
        <v>13557</v>
      </c>
      <c r="AF8" s="69">
        <v>49008</v>
      </c>
      <c r="AG8" s="56">
        <v>11691</v>
      </c>
      <c r="AH8" s="56">
        <v>13695</v>
      </c>
      <c r="AI8" s="56">
        <v>14048</v>
      </c>
      <c r="AJ8" s="56">
        <v>13461</v>
      </c>
      <c r="AK8" s="69">
        <v>52895</v>
      </c>
      <c r="AL8" s="56">
        <v>11727</v>
      </c>
      <c r="AM8" s="56">
        <v>12093</v>
      </c>
      <c r="AN8" s="56">
        <v>12824</v>
      </c>
      <c r="AO8" s="69">
        <f>SUM(AL8:AN8)</f>
        <v>36644</v>
      </c>
    </row>
    <row r="9" spans="2:41" x14ac:dyDescent="0.35">
      <c r="B9" s="2" t="s">
        <v>51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7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7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7">
        <v>-25029</v>
      </c>
      <c r="R9" s="17">
        <v>-5838</v>
      </c>
      <c r="S9" s="17">
        <v>-6435</v>
      </c>
      <c r="T9" s="57">
        <v>-6930</v>
      </c>
      <c r="U9" s="57">
        <f t="shared" ref="U9" si="0">V9-SUM(R9:T9)</f>
        <v>-6609</v>
      </c>
      <c r="V9" s="70">
        <v>-25812</v>
      </c>
      <c r="W9" s="99">
        <v>-5846</v>
      </c>
      <c r="X9" s="99">
        <v>-6349</v>
      </c>
      <c r="Y9" s="99">
        <v>-7734</v>
      </c>
      <c r="Z9" s="57">
        <v>-8495</v>
      </c>
      <c r="AA9" s="70">
        <v>-28424</v>
      </c>
      <c r="AB9" s="57">
        <v>-7328</v>
      </c>
      <c r="AC9" s="57">
        <v>-9077</v>
      </c>
      <c r="AD9" s="57">
        <v>-10458</v>
      </c>
      <c r="AE9" s="57">
        <v>-11071</v>
      </c>
      <c r="AF9" s="70">
        <v>-37934</v>
      </c>
      <c r="AG9" s="57">
        <v>-9485</v>
      </c>
      <c r="AH9" s="57">
        <v>-10115</v>
      </c>
      <c r="AI9" s="57">
        <v>-11245</v>
      </c>
      <c r="AJ9" s="57">
        <v>-11409</v>
      </c>
      <c r="AK9" s="70">
        <v>-42254</v>
      </c>
      <c r="AL9" s="57">
        <v>-10081</v>
      </c>
      <c r="AM9" s="57">
        <v>-10012</v>
      </c>
      <c r="AN9" s="57">
        <v>-10385</v>
      </c>
      <c r="AO9" s="70">
        <f t="shared" ref="AO9:AO44" si="1">SUM(AL9:AN9)</f>
        <v>-30478</v>
      </c>
    </row>
    <row r="10" spans="2:41" x14ac:dyDescent="0.35">
      <c r="B10" s="1" t="s">
        <v>52</v>
      </c>
      <c r="C10" s="11">
        <f t="shared" ref="C10:R10" si="2">SUM(C8:C9)</f>
        <v>1150</v>
      </c>
      <c r="D10" s="11">
        <f t="shared" si="2"/>
        <v>1679</v>
      </c>
      <c r="E10" s="11">
        <f t="shared" si="2"/>
        <v>1664</v>
      </c>
      <c r="F10" s="11">
        <f t="shared" si="2"/>
        <v>1462</v>
      </c>
      <c r="G10" s="38">
        <f t="shared" si="2"/>
        <v>5955</v>
      </c>
      <c r="H10" s="11">
        <f t="shared" si="2"/>
        <v>965</v>
      </c>
      <c r="I10" s="11">
        <f t="shared" si="2"/>
        <v>1274</v>
      </c>
      <c r="J10" s="11">
        <f t="shared" si="2"/>
        <v>1697</v>
      </c>
      <c r="K10" s="11">
        <f t="shared" si="2"/>
        <v>1692</v>
      </c>
      <c r="L10" s="38">
        <f t="shared" si="2"/>
        <v>5628</v>
      </c>
      <c r="M10" s="11">
        <f t="shared" si="2"/>
        <v>1202</v>
      </c>
      <c r="N10" s="11">
        <f t="shared" si="2"/>
        <v>1581</v>
      </c>
      <c r="O10" s="11">
        <f t="shared" si="2"/>
        <v>1706</v>
      </c>
      <c r="P10" s="11">
        <f t="shared" si="2"/>
        <v>1413</v>
      </c>
      <c r="Q10" s="38">
        <f t="shared" ref="Q10" si="3">SUM(Q8:Q9)</f>
        <v>5902</v>
      </c>
      <c r="R10" s="11">
        <f t="shared" si="2"/>
        <v>882</v>
      </c>
      <c r="S10" s="11">
        <v>1418</v>
      </c>
      <c r="T10" s="58">
        <f t="shared" ref="T10" si="4">SUM(T8:T9)</f>
        <v>1338</v>
      </c>
      <c r="U10" s="58">
        <f t="shared" ref="U10:V10" si="5">SUM(U8:U9)</f>
        <v>1457</v>
      </c>
      <c r="V10" s="71">
        <f t="shared" si="5"/>
        <v>5095</v>
      </c>
      <c r="W10" s="108">
        <f t="shared" ref="W10:AE10" si="6">SUM(W8:W9)</f>
        <v>748</v>
      </c>
      <c r="X10" s="108">
        <f t="shared" si="6"/>
        <v>1020</v>
      </c>
      <c r="Y10" s="108">
        <f t="shared" si="6"/>
        <v>2563</v>
      </c>
      <c r="Z10" s="58">
        <f t="shared" si="6"/>
        <v>2628</v>
      </c>
      <c r="AA10" s="71">
        <f t="shared" si="6"/>
        <v>6959</v>
      </c>
      <c r="AB10" s="58">
        <f t="shared" si="6"/>
        <v>2492</v>
      </c>
      <c r="AC10" s="58">
        <f t="shared" si="6"/>
        <v>3166</v>
      </c>
      <c r="AD10" s="58">
        <f t="shared" si="6"/>
        <v>2930</v>
      </c>
      <c r="AE10" s="58">
        <f t="shared" si="6"/>
        <v>2486</v>
      </c>
      <c r="AF10" s="71">
        <v>11074</v>
      </c>
      <c r="AG10" s="58">
        <f t="shared" ref="AG10:AH10" si="7">SUM(AG8:AG9)</f>
        <v>2206</v>
      </c>
      <c r="AH10" s="58">
        <f t="shared" si="7"/>
        <v>3580</v>
      </c>
      <c r="AI10" s="58">
        <f t="shared" ref="AI10:AJ10" si="8">SUM(AI8:AI9)</f>
        <v>2803</v>
      </c>
      <c r="AJ10" s="58">
        <f t="shared" si="8"/>
        <v>2052</v>
      </c>
      <c r="AK10" s="71">
        <v>10641</v>
      </c>
      <c r="AL10" s="58">
        <f t="shared" ref="AL10" si="9">SUM(AL8:AL9)</f>
        <v>1646</v>
      </c>
      <c r="AM10" s="58">
        <f t="shared" ref="AM10" si="10">SUM(AM8:AM9)</f>
        <v>2081</v>
      </c>
      <c r="AN10" s="58">
        <f t="shared" ref="AN10" si="11">SUM(AN8:AN9)</f>
        <v>2439</v>
      </c>
      <c r="AO10" s="71">
        <f t="shared" si="1"/>
        <v>6166</v>
      </c>
    </row>
    <row r="11" spans="2:41" x14ac:dyDescent="0.35">
      <c r="B11" s="2"/>
      <c r="C11" s="7"/>
      <c r="D11" s="7"/>
      <c r="E11" s="7"/>
      <c r="F11" s="7"/>
      <c r="G11" s="36"/>
      <c r="H11" s="7"/>
      <c r="I11" s="7"/>
      <c r="J11" s="7"/>
      <c r="K11" s="7"/>
      <c r="L11" s="36"/>
      <c r="M11" s="7"/>
      <c r="N11" s="7"/>
      <c r="O11" s="7"/>
      <c r="P11" s="7"/>
      <c r="Q11" s="36"/>
      <c r="R11" s="7"/>
      <c r="S11" s="7"/>
      <c r="T11" s="56"/>
      <c r="U11" s="56"/>
      <c r="V11" s="69"/>
      <c r="W11" s="98"/>
      <c r="X11" s="98"/>
      <c r="Y11" s="98"/>
      <c r="Z11" s="56"/>
      <c r="AA11" s="69"/>
      <c r="AB11" s="56"/>
      <c r="AC11" s="56"/>
      <c r="AD11" s="56"/>
      <c r="AE11" s="56"/>
      <c r="AF11" s="69"/>
      <c r="AG11" s="56"/>
      <c r="AH11" s="56"/>
      <c r="AI11" s="56"/>
      <c r="AJ11" s="56"/>
      <c r="AK11" s="69"/>
      <c r="AL11" s="56"/>
      <c r="AM11" s="56"/>
      <c r="AN11" s="56"/>
      <c r="AO11" s="69">
        <f t="shared" si="1"/>
        <v>0</v>
      </c>
    </row>
    <row r="12" spans="2:41" x14ac:dyDescent="0.35">
      <c r="B12" s="1" t="s">
        <v>53</v>
      </c>
      <c r="C12" s="7"/>
      <c r="D12" s="7"/>
      <c r="E12" s="7"/>
      <c r="F12" s="7"/>
      <c r="G12" s="36"/>
      <c r="H12" s="7"/>
      <c r="I12" s="7"/>
      <c r="J12" s="7"/>
      <c r="K12" s="7"/>
      <c r="L12" s="36"/>
      <c r="M12" s="7"/>
      <c r="N12" s="7"/>
      <c r="O12" s="7"/>
      <c r="P12" s="7"/>
      <c r="Q12" s="36"/>
      <c r="R12" s="7"/>
      <c r="S12" s="7"/>
      <c r="T12" s="56"/>
      <c r="U12" s="56"/>
      <c r="V12" s="69"/>
      <c r="W12" s="98"/>
      <c r="X12" s="98"/>
      <c r="Y12" s="98"/>
      <c r="Z12" s="56"/>
      <c r="AA12" s="69"/>
      <c r="AB12" s="56"/>
      <c r="AC12" s="56"/>
      <c r="AD12" s="56"/>
      <c r="AE12" s="56"/>
      <c r="AF12" s="69"/>
      <c r="AG12" s="56"/>
      <c r="AH12" s="56"/>
      <c r="AI12" s="56"/>
      <c r="AJ12" s="56"/>
      <c r="AK12" s="69"/>
      <c r="AL12" s="56"/>
      <c r="AM12" s="56"/>
      <c r="AN12" s="56"/>
      <c r="AO12" s="69">
        <f t="shared" si="1"/>
        <v>0</v>
      </c>
    </row>
    <row r="13" spans="2:41" x14ac:dyDescent="0.35">
      <c r="B13" s="2" t="s">
        <v>54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12">G13-E13-D13-C13</f>
        <v>-414</v>
      </c>
      <c r="G13" s="39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3">L13-J13-I13-H13</f>
        <v>-185</v>
      </c>
      <c r="L13" s="39">
        <v>-701</v>
      </c>
      <c r="M13" s="16">
        <v>-180</v>
      </c>
      <c r="N13" s="16">
        <v>-195</v>
      </c>
      <c r="O13" s="16">
        <v>-168</v>
      </c>
      <c r="P13" s="16">
        <f t="shared" ref="P13:P15" si="14">Q13-O13-N13-M13</f>
        <v>-212</v>
      </c>
      <c r="Q13" s="39">
        <v>-755</v>
      </c>
      <c r="R13" s="16">
        <v>-214</v>
      </c>
      <c r="S13" s="16">
        <v>-218</v>
      </c>
      <c r="T13" s="56">
        <v>-226</v>
      </c>
      <c r="U13" s="56">
        <f t="shared" ref="U13:U15" si="15">V13-SUM(R13:T13)</f>
        <v>-215</v>
      </c>
      <c r="V13" s="69">
        <v>-873</v>
      </c>
      <c r="W13" s="98">
        <v>-221</v>
      </c>
      <c r="X13" s="98">
        <v>-204</v>
      </c>
      <c r="Y13" s="98">
        <v>-233</v>
      </c>
      <c r="Z13" s="56">
        <v>-231</v>
      </c>
      <c r="AA13" s="69">
        <v>-889</v>
      </c>
      <c r="AB13" s="56">
        <v>-199</v>
      </c>
      <c r="AC13" s="56">
        <v>-226</v>
      </c>
      <c r="AD13" s="56">
        <v>-239</v>
      </c>
      <c r="AE13" s="56">
        <v>-237</v>
      </c>
      <c r="AF13" s="69">
        <v>-901</v>
      </c>
      <c r="AG13" s="56">
        <v>-253</v>
      </c>
      <c r="AH13" s="56">
        <v>-281</v>
      </c>
      <c r="AI13" s="56">
        <v>-301</v>
      </c>
      <c r="AJ13" s="56">
        <v>-275</v>
      </c>
      <c r="AK13" s="69">
        <v>-1110</v>
      </c>
      <c r="AL13" s="56">
        <v>-319</v>
      </c>
      <c r="AM13" s="56">
        <v>-315</v>
      </c>
      <c r="AN13" s="56">
        <v>-294</v>
      </c>
      <c r="AO13" s="69">
        <f t="shared" si="1"/>
        <v>-928</v>
      </c>
    </row>
    <row r="14" spans="2:41" x14ac:dyDescent="0.35">
      <c r="B14" s="2" t="s">
        <v>55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12"/>
        <v>-608</v>
      </c>
      <c r="G14" s="39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3"/>
        <v>-570</v>
      </c>
      <c r="L14" s="39">
        <v>-2013</v>
      </c>
      <c r="M14" s="16">
        <v>-464</v>
      </c>
      <c r="N14" s="16">
        <v>-491</v>
      </c>
      <c r="O14" s="16">
        <v>-543</v>
      </c>
      <c r="P14" s="16">
        <f t="shared" si="14"/>
        <v>-639</v>
      </c>
      <c r="Q14" s="39">
        <v>-2137</v>
      </c>
      <c r="R14" s="16">
        <v>-533</v>
      </c>
      <c r="S14" s="16">
        <v>-559</v>
      </c>
      <c r="T14" s="56">
        <v>-614</v>
      </c>
      <c r="U14" s="56">
        <f t="shared" si="15"/>
        <v>-786</v>
      </c>
      <c r="V14" s="69">
        <v>-2492</v>
      </c>
      <c r="W14" s="98">
        <v>-544</v>
      </c>
      <c r="X14" s="98">
        <v>-541</v>
      </c>
      <c r="Y14" s="98">
        <v>-665</v>
      </c>
      <c r="Z14" s="56">
        <v>-753</v>
      </c>
      <c r="AA14" s="69">
        <v>-2503</v>
      </c>
      <c r="AB14" s="56">
        <v>-607</v>
      </c>
      <c r="AC14" s="56">
        <v>-635</v>
      </c>
      <c r="AD14" s="56">
        <v>-694</v>
      </c>
      <c r="AE14" s="56">
        <v>-905</v>
      </c>
      <c r="AF14" s="69">
        <v>-2841</v>
      </c>
      <c r="AG14" s="56">
        <v>-656</v>
      </c>
      <c r="AH14" s="56">
        <v>-645</v>
      </c>
      <c r="AI14" s="56">
        <v>-653</v>
      </c>
      <c r="AJ14" s="56">
        <v>-922</v>
      </c>
      <c r="AK14" s="69">
        <v>-2876</v>
      </c>
      <c r="AL14" s="56">
        <v>-639</v>
      </c>
      <c r="AM14" s="56">
        <v>-664</v>
      </c>
      <c r="AN14" s="56">
        <v>-666</v>
      </c>
      <c r="AO14" s="69">
        <f t="shared" si="1"/>
        <v>-1969</v>
      </c>
    </row>
    <row r="15" spans="2:41" x14ac:dyDescent="0.35">
      <c r="B15" s="2" t="s">
        <v>56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12"/>
        <v>-2586</v>
      </c>
      <c r="G15" s="40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3"/>
        <v>87</v>
      </c>
      <c r="L15" s="40">
        <v>-553</v>
      </c>
      <c r="M15" s="19">
        <v>-56</v>
      </c>
      <c r="N15" s="7">
        <v>167</v>
      </c>
      <c r="O15" s="19">
        <v>-230</v>
      </c>
      <c r="P15" s="7">
        <f t="shared" si="14"/>
        <v>711</v>
      </c>
      <c r="Q15" s="44">
        <v>592</v>
      </c>
      <c r="R15" s="24">
        <v>6994</v>
      </c>
      <c r="S15" s="19">
        <v>-130</v>
      </c>
      <c r="T15" s="59">
        <v>-735</v>
      </c>
      <c r="U15" s="59">
        <f t="shared" si="15"/>
        <v>-122</v>
      </c>
      <c r="V15" s="72">
        <v>6007</v>
      </c>
      <c r="W15" s="99">
        <v>-2104</v>
      </c>
      <c r="X15" s="99">
        <v>-225</v>
      </c>
      <c r="Y15" s="99">
        <v>-341</v>
      </c>
      <c r="Z15" s="59">
        <v>376</v>
      </c>
      <c r="AA15" s="72">
        <v>-2294</v>
      </c>
      <c r="AB15" s="59">
        <v>412</v>
      </c>
      <c r="AC15" s="59">
        <v>392</v>
      </c>
      <c r="AD15" s="59">
        <v>276</v>
      </c>
      <c r="AE15" s="59">
        <v>-475</v>
      </c>
      <c r="AF15" s="72">
        <v>605</v>
      </c>
      <c r="AG15" s="59">
        <v>1095</v>
      </c>
      <c r="AH15" s="59">
        <v>109</v>
      </c>
      <c r="AI15" s="59">
        <v>-1</v>
      </c>
      <c r="AJ15" s="59">
        <v>-224</v>
      </c>
      <c r="AK15" s="72">
        <v>979</v>
      </c>
      <c r="AL15" s="59">
        <v>176</v>
      </c>
      <c r="AM15" s="59">
        <v>-683</v>
      </c>
      <c r="AN15" s="59">
        <v>-21</v>
      </c>
      <c r="AO15" s="72">
        <f t="shared" si="1"/>
        <v>-528</v>
      </c>
    </row>
    <row r="16" spans="2:41" x14ac:dyDescent="0.35">
      <c r="B16" s="2"/>
      <c r="C16" s="17">
        <f t="shared" ref="C16:R16" si="16">SUM(C12:C15)</f>
        <v>-652</v>
      </c>
      <c r="D16" s="18">
        <f t="shared" si="16"/>
        <v>-1073</v>
      </c>
      <c r="E16" s="18">
        <f t="shared" si="16"/>
        <v>-1013</v>
      </c>
      <c r="F16" s="18">
        <f t="shared" si="16"/>
        <v>-3608</v>
      </c>
      <c r="G16" s="41">
        <f t="shared" si="16"/>
        <v>-6346</v>
      </c>
      <c r="H16" s="18">
        <f t="shared" si="16"/>
        <v>-981</v>
      </c>
      <c r="I16" s="18">
        <f t="shared" si="16"/>
        <v>-523</v>
      </c>
      <c r="J16" s="18">
        <f t="shared" si="16"/>
        <v>-1095</v>
      </c>
      <c r="K16" s="18">
        <f t="shared" si="16"/>
        <v>-668</v>
      </c>
      <c r="L16" s="41">
        <f t="shared" si="16"/>
        <v>-3267</v>
      </c>
      <c r="M16" s="18">
        <f t="shared" si="16"/>
        <v>-700</v>
      </c>
      <c r="N16" s="18">
        <f t="shared" si="16"/>
        <v>-519</v>
      </c>
      <c r="O16" s="18">
        <f t="shared" si="16"/>
        <v>-941</v>
      </c>
      <c r="P16" s="18">
        <f t="shared" si="16"/>
        <v>-140</v>
      </c>
      <c r="Q16" s="41">
        <f t="shared" si="16"/>
        <v>-2300</v>
      </c>
      <c r="R16" s="24">
        <f t="shared" si="16"/>
        <v>6247</v>
      </c>
      <c r="S16" s="18">
        <v>-907</v>
      </c>
      <c r="T16" s="60">
        <f t="shared" ref="T16:U16" si="17">SUM(T12:T15)</f>
        <v>-1575</v>
      </c>
      <c r="U16" s="60">
        <f t="shared" si="17"/>
        <v>-1123</v>
      </c>
      <c r="V16" s="73">
        <f>SUM(V12:V15)</f>
        <v>2642</v>
      </c>
      <c r="W16" s="100">
        <f t="shared" ref="W16:AE16" si="18">SUM(W12:W15)</f>
        <v>-2869</v>
      </c>
      <c r="X16" s="100">
        <f t="shared" si="18"/>
        <v>-970</v>
      </c>
      <c r="Y16" s="100">
        <f t="shared" si="18"/>
        <v>-1239</v>
      </c>
      <c r="Z16" s="60">
        <f t="shared" si="18"/>
        <v>-608</v>
      </c>
      <c r="AA16" s="73">
        <f t="shared" si="18"/>
        <v>-5686</v>
      </c>
      <c r="AB16" s="60">
        <f t="shared" si="18"/>
        <v>-394</v>
      </c>
      <c r="AC16" s="60">
        <f t="shared" si="18"/>
        <v>-469</v>
      </c>
      <c r="AD16" s="60">
        <f t="shared" si="18"/>
        <v>-657</v>
      </c>
      <c r="AE16" s="60">
        <f t="shared" si="18"/>
        <v>-1617</v>
      </c>
      <c r="AF16" s="73">
        <v>-3137</v>
      </c>
      <c r="AG16" s="60">
        <f t="shared" ref="AG16" si="19">SUM(AG12:AG15)</f>
        <v>186</v>
      </c>
      <c r="AH16" s="60">
        <f t="shared" ref="AH16:AJ16" si="20">SUM(AH12:AH15)</f>
        <v>-817</v>
      </c>
      <c r="AI16" s="60">
        <f t="shared" si="20"/>
        <v>-955</v>
      </c>
      <c r="AJ16" s="60">
        <f t="shared" si="20"/>
        <v>-1421</v>
      </c>
      <c r="AK16" s="73">
        <v>-3007</v>
      </c>
      <c r="AL16" s="60">
        <f t="shared" ref="AL16" si="21">SUM(AL12:AL15)</f>
        <v>-782</v>
      </c>
      <c r="AM16" s="60">
        <f t="shared" ref="AM16:AN16" si="22">SUM(AM12:AM15)</f>
        <v>-1662</v>
      </c>
      <c r="AN16" s="60">
        <f t="shared" si="22"/>
        <v>-981</v>
      </c>
      <c r="AO16" s="73">
        <f t="shared" si="1"/>
        <v>-3425</v>
      </c>
    </row>
    <row r="17" spans="2:41" x14ac:dyDescent="0.35">
      <c r="B17" s="1" t="s">
        <v>57</v>
      </c>
      <c r="C17" s="12">
        <f t="shared" ref="C17:R17" si="23">C10+C16</f>
        <v>498</v>
      </c>
      <c r="D17" s="12">
        <f t="shared" si="23"/>
        <v>606</v>
      </c>
      <c r="E17" s="12">
        <f t="shared" si="23"/>
        <v>651</v>
      </c>
      <c r="F17" s="21">
        <f t="shared" si="23"/>
        <v>-2146</v>
      </c>
      <c r="G17" s="42">
        <f t="shared" si="23"/>
        <v>-391</v>
      </c>
      <c r="H17" s="21">
        <f t="shared" si="23"/>
        <v>-16</v>
      </c>
      <c r="I17" s="12">
        <f t="shared" si="23"/>
        <v>751</v>
      </c>
      <c r="J17" s="12">
        <f t="shared" si="23"/>
        <v>602</v>
      </c>
      <c r="K17" s="12">
        <f t="shared" si="23"/>
        <v>1024</v>
      </c>
      <c r="L17" s="48">
        <f t="shared" si="23"/>
        <v>2361</v>
      </c>
      <c r="M17" s="12">
        <f t="shared" si="23"/>
        <v>502</v>
      </c>
      <c r="N17" s="12">
        <f t="shared" si="23"/>
        <v>1062</v>
      </c>
      <c r="O17" s="12">
        <f t="shared" si="23"/>
        <v>765</v>
      </c>
      <c r="P17" s="12">
        <f t="shared" si="23"/>
        <v>1273</v>
      </c>
      <c r="Q17" s="48">
        <f t="shared" si="23"/>
        <v>3602</v>
      </c>
      <c r="R17" s="12">
        <f t="shared" si="23"/>
        <v>7129</v>
      </c>
      <c r="S17" s="12">
        <v>511</v>
      </c>
      <c r="T17" s="61">
        <f t="shared" ref="T17:AE17" si="24">T10+T16</f>
        <v>-237</v>
      </c>
      <c r="U17" s="61">
        <f t="shared" si="24"/>
        <v>334</v>
      </c>
      <c r="V17" s="74">
        <f t="shared" si="24"/>
        <v>7737</v>
      </c>
      <c r="W17" s="101">
        <f t="shared" si="24"/>
        <v>-2121</v>
      </c>
      <c r="X17" s="101">
        <f t="shared" si="24"/>
        <v>50</v>
      </c>
      <c r="Y17" s="101">
        <f t="shared" si="24"/>
        <v>1324</v>
      </c>
      <c r="Z17" s="61">
        <f t="shared" si="24"/>
        <v>2020</v>
      </c>
      <c r="AA17" s="74">
        <f t="shared" si="24"/>
        <v>1273</v>
      </c>
      <c r="AB17" s="61">
        <f t="shared" si="24"/>
        <v>2098</v>
      </c>
      <c r="AC17" s="61">
        <f t="shared" si="24"/>
        <v>2697</v>
      </c>
      <c r="AD17" s="61">
        <f t="shared" si="24"/>
        <v>2273</v>
      </c>
      <c r="AE17" s="61">
        <f t="shared" si="24"/>
        <v>869</v>
      </c>
      <c r="AF17" s="74">
        <v>7937</v>
      </c>
      <c r="AG17" s="61">
        <f t="shared" ref="AG17" si="25">AG10+AG16</f>
        <v>2392</v>
      </c>
      <c r="AH17" s="61">
        <f t="shared" ref="AH17:AJ17" si="26">AH10+AH16</f>
        <v>2763</v>
      </c>
      <c r="AI17" s="61">
        <f t="shared" si="26"/>
        <v>1848</v>
      </c>
      <c r="AJ17" s="61">
        <f t="shared" si="26"/>
        <v>631</v>
      </c>
      <c r="AK17" s="74">
        <v>7634</v>
      </c>
      <c r="AL17" s="61">
        <f t="shared" ref="AL17" si="27">AL10+AL16</f>
        <v>864</v>
      </c>
      <c r="AM17" s="61">
        <f t="shared" ref="AM17:AN17" si="28">AM10+AM16</f>
        <v>419</v>
      </c>
      <c r="AN17" s="61">
        <f t="shared" si="28"/>
        <v>1458</v>
      </c>
      <c r="AO17" s="74">
        <f t="shared" si="1"/>
        <v>2741</v>
      </c>
    </row>
    <row r="18" spans="2:41" x14ac:dyDescent="0.35">
      <c r="B18" s="2"/>
      <c r="C18" s="10"/>
      <c r="D18" s="10"/>
      <c r="E18" s="10"/>
      <c r="F18" s="10"/>
      <c r="G18" s="43"/>
      <c r="H18" s="10"/>
      <c r="I18" s="10"/>
      <c r="J18" s="10"/>
      <c r="K18" s="10"/>
      <c r="L18" s="43"/>
      <c r="M18" s="10"/>
      <c r="N18" s="10"/>
      <c r="O18" s="10"/>
      <c r="P18" s="10"/>
      <c r="Q18" s="43"/>
      <c r="R18" s="10"/>
      <c r="S18" s="10"/>
      <c r="T18" s="62"/>
      <c r="U18" s="62"/>
      <c r="V18" s="75"/>
      <c r="W18" s="102"/>
      <c r="X18" s="102"/>
      <c r="Y18" s="102"/>
      <c r="Z18" s="62"/>
      <c r="AA18" s="75"/>
      <c r="AB18" s="62"/>
      <c r="AC18" s="62"/>
      <c r="AD18" s="62"/>
      <c r="AE18" s="62"/>
      <c r="AF18" s="75"/>
      <c r="AG18" s="62"/>
      <c r="AH18" s="62"/>
      <c r="AI18" s="62"/>
      <c r="AJ18" s="62"/>
      <c r="AK18" s="75"/>
      <c r="AL18" s="62"/>
      <c r="AM18" s="62"/>
      <c r="AN18" s="62"/>
      <c r="AO18" s="75">
        <f t="shared" si="1"/>
        <v>0</v>
      </c>
    </row>
    <row r="19" spans="2:41" x14ac:dyDescent="0.35">
      <c r="B19" s="1" t="s">
        <v>58</v>
      </c>
      <c r="C19" s="7"/>
      <c r="D19" s="7"/>
      <c r="E19" s="7"/>
      <c r="F19" s="7"/>
      <c r="G19" s="36"/>
      <c r="H19" s="7"/>
      <c r="I19" s="7"/>
      <c r="J19" s="7"/>
      <c r="K19" s="7"/>
      <c r="L19" s="36"/>
      <c r="M19" s="7"/>
      <c r="N19" s="7"/>
      <c r="O19" s="7"/>
      <c r="P19" s="7"/>
      <c r="Q19" s="36"/>
      <c r="R19" s="7"/>
      <c r="S19" s="7"/>
      <c r="T19" s="56"/>
      <c r="U19" s="56"/>
      <c r="V19" s="69"/>
      <c r="W19" s="98"/>
      <c r="X19" s="98"/>
      <c r="Y19" s="98"/>
      <c r="Z19" s="56"/>
      <c r="AA19" s="69"/>
      <c r="AB19" s="56"/>
      <c r="AC19" s="56"/>
      <c r="AD19" s="56"/>
      <c r="AE19" s="56"/>
      <c r="AF19" s="69"/>
      <c r="AG19" s="56"/>
      <c r="AH19" s="56"/>
      <c r="AI19" s="56"/>
      <c r="AJ19" s="56"/>
      <c r="AK19" s="69"/>
      <c r="AL19" s="56"/>
      <c r="AM19" s="56"/>
      <c r="AN19" s="56"/>
      <c r="AO19" s="69">
        <f t="shared" si="1"/>
        <v>0</v>
      </c>
    </row>
    <row r="20" spans="2:41" x14ac:dyDescent="0.35">
      <c r="B20" s="2" t="s">
        <v>59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29">G20-E20-D20-C20</f>
        <v>166</v>
      </c>
      <c r="G20" s="36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30">L20-J20-I20-H20</f>
        <v>288</v>
      </c>
      <c r="L20" s="36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31">Q20-O20-N20-M20</f>
        <v>556</v>
      </c>
      <c r="Q20" s="36">
        <v>1118</v>
      </c>
      <c r="R20" s="7">
        <v>89</v>
      </c>
      <c r="S20" s="7">
        <v>215</v>
      </c>
      <c r="T20" s="56">
        <v>41</v>
      </c>
      <c r="U20" s="56">
        <f t="shared" ref="U20:U22" si="32">V20-SUM(R20:T20)</f>
        <v>574</v>
      </c>
      <c r="V20" s="69">
        <v>919</v>
      </c>
      <c r="W20" s="98">
        <v>-133</v>
      </c>
      <c r="X20" s="98">
        <v>-79</v>
      </c>
      <c r="Y20" s="98">
        <v>238</v>
      </c>
      <c r="Z20" s="56">
        <v>701</v>
      </c>
      <c r="AA20" s="69">
        <v>727</v>
      </c>
      <c r="AB20" s="56">
        <v>97</v>
      </c>
      <c r="AC20" s="56">
        <v>369</v>
      </c>
      <c r="AD20" s="56">
        <v>-150</v>
      </c>
      <c r="AE20" s="56">
        <v>269</v>
      </c>
      <c r="AF20" s="69">
        <v>585</v>
      </c>
      <c r="AG20" s="56">
        <v>216</v>
      </c>
      <c r="AH20" s="56">
        <v>139</v>
      </c>
      <c r="AI20" s="56">
        <v>271</v>
      </c>
      <c r="AJ20" s="56">
        <v>845</v>
      </c>
      <c r="AK20" s="69">
        <v>1471</v>
      </c>
      <c r="AL20" s="56">
        <v>380</v>
      </c>
      <c r="AM20" s="56">
        <v>222</v>
      </c>
      <c r="AN20" s="56">
        <v>-75</v>
      </c>
      <c r="AO20" s="69">
        <f t="shared" si="1"/>
        <v>527</v>
      </c>
    </row>
    <row r="21" spans="2:41" x14ac:dyDescent="0.35">
      <c r="B21" s="2" t="s">
        <v>60</v>
      </c>
      <c r="C21" s="7">
        <v>0</v>
      </c>
      <c r="D21" s="7">
        <v>0</v>
      </c>
      <c r="E21" s="7">
        <v>0</v>
      </c>
      <c r="F21" s="7">
        <f t="shared" si="29"/>
        <v>0</v>
      </c>
      <c r="G21" s="36">
        <v>0</v>
      </c>
      <c r="H21" s="7">
        <v>0</v>
      </c>
      <c r="I21" s="7">
        <v>0</v>
      </c>
      <c r="J21" s="7">
        <v>0</v>
      </c>
      <c r="K21" s="7">
        <f t="shared" si="30"/>
        <v>0</v>
      </c>
      <c r="L21" s="36">
        <v>0</v>
      </c>
      <c r="M21" s="7">
        <v>0</v>
      </c>
      <c r="N21" s="7">
        <v>0</v>
      </c>
      <c r="O21" s="7">
        <v>0</v>
      </c>
      <c r="P21" s="7">
        <f t="shared" si="31"/>
        <v>820</v>
      </c>
      <c r="Q21" s="36">
        <v>820</v>
      </c>
      <c r="R21" s="7">
        <v>0</v>
      </c>
      <c r="S21" s="7">
        <v>0</v>
      </c>
      <c r="T21" s="56">
        <v>0</v>
      </c>
      <c r="U21" s="56">
        <f t="shared" si="32"/>
        <v>0</v>
      </c>
      <c r="V21" s="36">
        <v>0</v>
      </c>
      <c r="W21" s="98">
        <v>0</v>
      </c>
      <c r="X21" s="98">
        <v>0</v>
      </c>
      <c r="Y21" s="98">
        <v>0</v>
      </c>
      <c r="Z21" s="56">
        <v>0</v>
      </c>
      <c r="AA21" s="36">
        <v>0</v>
      </c>
      <c r="AB21" s="56">
        <v>0</v>
      </c>
      <c r="AC21" s="56">
        <v>0</v>
      </c>
      <c r="AD21" s="56">
        <v>0</v>
      </c>
      <c r="AE21" s="56">
        <v>0</v>
      </c>
      <c r="AF21" s="36">
        <v>0</v>
      </c>
      <c r="AG21" s="56">
        <v>0</v>
      </c>
      <c r="AH21" s="56">
        <v>0</v>
      </c>
      <c r="AI21" s="56">
        <v>0</v>
      </c>
      <c r="AJ21" s="56">
        <v>0</v>
      </c>
      <c r="AK21" s="36">
        <v>0</v>
      </c>
      <c r="AL21" s="56">
        <v>0</v>
      </c>
      <c r="AM21" s="56">
        <v>0</v>
      </c>
      <c r="AN21" s="56">
        <v>0</v>
      </c>
      <c r="AO21" s="36">
        <f t="shared" si="1"/>
        <v>0</v>
      </c>
    </row>
    <row r="22" spans="2:41" x14ac:dyDescent="0.35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29"/>
        <v>0</v>
      </c>
      <c r="G22" s="44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30"/>
        <v>0</v>
      </c>
      <c r="L22" s="44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31"/>
        <v>4</v>
      </c>
      <c r="Q22" s="44">
        <v>4</v>
      </c>
      <c r="R22" s="8">
        <v>0</v>
      </c>
      <c r="S22" s="8">
        <v>108</v>
      </c>
      <c r="T22" s="59">
        <v>0</v>
      </c>
      <c r="U22" s="59">
        <f t="shared" si="32"/>
        <v>0</v>
      </c>
      <c r="V22" s="72">
        <v>108</v>
      </c>
      <c r="W22" s="100">
        <v>0</v>
      </c>
      <c r="X22" s="100">
        <v>0</v>
      </c>
      <c r="Y22" s="100">
        <v>0</v>
      </c>
      <c r="Z22" s="59">
        <v>0</v>
      </c>
      <c r="AA22" s="44">
        <v>0</v>
      </c>
      <c r="AB22" s="59">
        <v>0</v>
      </c>
      <c r="AC22" s="59">
        <v>0</v>
      </c>
      <c r="AD22" s="59">
        <v>20</v>
      </c>
      <c r="AE22" s="59">
        <v>0</v>
      </c>
      <c r="AF22" s="44">
        <v>20</v>
      </c>
      <c r="AG22" s="59">
        <v>0</v>
      </c>
      <c r="AH22" s="59">
        <v>0</v>
      </c>
      <c r="AI22" s="59">
        <v>0</v>
      </c>
      <c r="AJ22" s="59">
        <v>0</v>
      </c>
      <c r="AK22" s="44">
        <v>0</v>
      </c>
      <c r="AL22" s="59">
        <v>0</v>
      </c>
      <c r="AM22" s="59">
        <v>0</v>
      </c>
      <c r="AN22" s="59">
        <v>0</v>
      </c>
      <c r="AO22" s="44">
        <f t="shared" si="1"/>
        <v>0</v>
      </c>
    </row>
    <row r="23" spans="2:41" x14ac:dyDescent="0.35">
      <c r="B23" s="2"/>
      <c r="C23" s="7">
        <f t="shared" ref="C23:R23" si="33">SUM(C20:C22)</f>
        <v>335</v>
      </c>
      <c r="D23" s="7">
        <f t="shared" si="33"/>
        <v>295</v>
      </c>
      <c r="E23" s="20">
        <f t="shared" si="33"/>
        <v>-28</v>
      </c>
      <c r="F23" s="7">
        <f t="shared" si="33"/>
        <v>166</v>
      </c>
      <c r="G23" s="36">
        <f t="shared" si="33"/>
        <v>768</v>
      </c>
      <c r="H23" s="7">
        <f t="shared" si="33"/>
        <v>138</v>
      </c>
      <c r="I23" s="7">
        <f t="shared" si="33"/>
        <v>349</v>
      </c>
      <c r="J23" s="7">
        <f t="shared" si="33"/>
        <v>447</v>
      </c>
      <c r="K23" s="7">
        <f t="shared" si="33"/>
        <v>288</v>
      </c>
      <c r="L23" s="36">
        <f t="shared" si="33"/>
        <v>1222</v>
      </c>
      <c r="M23" s="7">
        <f t="shared" si="33"/>
        <v>389</v>
      </c>
      <c r="N23" s="7">
        <f t="shared" si="33"/>
        <v>115</v>
      </c>
      <c r="O23" s="7">
        <f t="shared" si="33"/>
        <v>58</v>
      </c>
      <c r="P23" s="7">
        <f t="shared" si="33"/>
        <v>1380</v>
      </c>
      <c r="Q23" s="36">
        <f t="shared" si="33"/>
        <v>1942</v>
      </c>
      <c r="R23" s="7">
        <f t="shared" si="33"/>
        <v>89</v>
      </c>
      <c r="S23" s="7">
        <v>323</v>
      </c>
      <c r="T23" s="56">
        <f t="shared" ref="T23:AE23" si="34">SUM(T20:T22)</f>
        <v>41</v>
      </c>
      <c r="U23" s="56">
        <f t="shared" si="34"/>
        <v>574</v>
      </c>
      <c r="V23" s="69">
        <f t="shared" si="34"/>
        <v>1027</v>
      </c>
      <c r="W23" s="98">
        <f t="shared" si="34"/>
        <v>-133</v>
      </c>
      <c r="X23" s="98">
        <f t="shared" si="34"/>
        <v>-79</v>
      </c>
      <c r="Y23" s="98">
        <f t="shared" si="34"/>
        <v>238</v>
      </c>
      <c r="Z23" s="56">
        <f t="shared" si="34"/>
        <v>701</v>
      </c>
      <c r="AA23" s="69">
        <f t="shared" si="34"/>
        <v>727</v>
      </c>
      <c r="AB23" s="56">
        <f t="shared" si="34"/>
        <v>97</v>
      </c>
      <c r="AC23" s="56">
        <f t="shared" si="34"/>
        <v>369</v>
      </c>
      <c r="AD23" s="56">
        <f t="shared" si="34"/>
        <v>-130</v>
      </c>
      <c r="AE23" s="56">
        <f t="shared" si="34"/>
        <v>269</v>
      </c>
      <c r="AF23" s="69">
        <v>605</v>
      </c>
      <c r="AG23" s="56">
        <f t="shared" ref="AG23" si="35">SUM(AG20:AG22)</f>
        <v>216</v>
      </c>
      <c r="AH23" s="56">
        <f t="shared" ref="AH23:AJ23" si="36">SUM(AH20:AH22)</f>
        <v>139</v>
      </c>
      <c r="AI23" s="56">
        <f t="shared" si="36"/>
        <v>271</v>
      </c>
      <c r="AJ23" s="56">
        <f t="shared" si="36"/>
        <v>845</v>
      </c>
      <c r="AK23" s="69">
        <v>1471</v>
      </c>
      <c r="AL23" s="56">
        <f t="shared" ref="AL23" si="37">SUM(AL20:AL22)</f>
        <v>380</v>
      </c>
      <c r="AM23" s="56">
        <f t="shared" ref="AM23:AN23" si="38">SUM(AM20:AM22)</f>
        <v>222</v>
      </c>
      <c r="AN23" s="56">
        <f t="shared" si="38"/>
        <v>-75</v>
      </c>
      <c r="AO23" s="69">
        <f t="shared" si="1"/>
        <v>527</v>
      </c>
    </row>
    <row r="24" spans="2:41" x14ac:dyDescent="0.35">
      <c r="B24" s="1" t="s">
        <v>62</v>
      </c>
      <c r="C24" s="7"/>
      <c r="D24" s="7"/>
      <c r="E24" s="7"/>
      <c r="F24" s="7"/>
      <c r="G24" s="36"/>
      <c r="H24" s="7"/>
      <c r="I24" s="7"/>
      <c r="J24" s="7"/>
      <c r="K24" s="7"/>
      <c r="L24" s="36"/>
      <c r="M24" s="7"/>
      <c r="N24" s="7"/>
      <c r="O24" s="7"/>
      <c r="P24" s="7"/>
      <c r="Q24" s="36"/>
      <c r="R24" s="7"/>
      <c r="S24" s="7"/>
      <c r="T24" s="56"/>
      <c r="U24" s="56"/>
      <c r="V24" s="69"/>
      <c r="W24" s="98"/>
      <c r="X24" s="98"/>
      <c r="Y24" s="98"/>
      <c r="Z24" s="56"/>
      <c r="AA24" s="69"/>
      <c r="AB24" s="56"/>
      <c r="AC24" s="56"/>
      <c r="AD24" s="56"/>
      <c r="AE24" s="56"/>
      <c r="AF24" s="69"/>
      <c r="AG24" s="56"/>
      <c r="AH24" s="56"/>
      <c r="AI24" s="56"/>
      <c r="AJ24" s="56"/>
      <c r="AK24" s="69"/>
      <c r="AL24" s="56"/>
      <c r="AM24" s="56"/>
      <c r="AN24" s="56"/>
      <c r="AO24" s="69">
        <f t="shared" si="1"/>
        <v>0</v>
      </c>
    </row>
    <row r="25" spans="2:41" x14ac:dyDescent="0.35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9">G25-E25-D25-C25</f>
        <v>290</v>
      </c>
      <c r="G25" s="36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40">L25-J25-I25-H25</f>
        <v>181</v>
      </c>
      <c r="L25" s="36">
        <v>1153</v>
      </c>
      <c r="M25" s="7">
        <v>226</v>
      </c>
      <c r="N25" s="7">
        <v>211</v>
      </c>
      <c r="O25" s="7">
        <v>236</v>
      </c>
      <c r="P25" s="7">
        <f t="shared" ref="P25:P28" si="41">Q25-O25-N25-M25</f>
        <v>584</v>
      </c>
      <c r="Q25" s="36">
        <v>1257</v>
      </c>
      <c r="R25" s="7">
        <v>411</v>
      </c>
      <c r="S25" s="7">
        <v>233</v>
      </c>
      <c r="T25" s="56">
        <v>212</v>
      </c>
      <c r="U25" s="56">
        <f t="shared" ref="U25:U28" si="42">V25-SUM(R25:T25)</f>
        <v>413</v>
      </c>
      <c r="V25" s="69">
        <v>1269</v>
      </c>
      <c r="W25" s="98">
        <v>170</v>
      </c>
      <c r="X25" s="98">
        <v>236</v>
      </c>
      <c r="Y25" s="98">
        <v>126</v>
      </c>
      <c r="Z25" s="56">
        <v>128</v>
      </c>
      <c r="AA25" s="69">
        <v>660</v>
      </c>
      <c r="AB25" s="56">
        <v>194</v>
      </c>
      <c r="AC25" s="56">
        <v>106</v>
      </c>
      <c r="AD25" s="56">
        <v>282</v>
      </c>
      <c r="AE25" s="56">
        <v>326</v>
      </c>
      <c r="AF25" s="69">
        <v>908</v>
      </c>
      <c r="AG25" s="56">
        <v>332</v>
      </c>
      <c r="AH25" s="56">
        <v>414</v>
      </c>
      <c r="AI25" s="56">
        <v>444</v>
      </c>
      <c r="AJ25" s="56">
        <v>436</v>
      </c>
      <c r="AK25" s="69">
        <v>1626</v>
      </c>
      <c r="AL25" s="56">
        <v>593</v>
      </c>
      <c r="AM25" s="56">
        <v>680</v>
      </c>
      <c r="AN25" s="56">
        <v>385</v>
      </c>
      <c r="AO25" s="69">
        <f t="shared" si="1"/>
        <v>1658</v>
      </c>
    </row>
    <row r="26" spans="2:41" x14ac:dyDescent="0.35">
      <c r="B26" s="2" t="s">
        <v>64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39"/>
        <v>-632</v>
      </c>
      <c r="G26" s="39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40"/>
        <v>-715</v>
      </c>
      <c r="L26" s="39">
        <v>-2705</v>
      </c>
      <c r="M26" s="16">
        <v>-555</v>
      </c>
      <c r="N26" s="16">
        <v>-716</v>
      </c>
      <c r="O26" s="16">
        <v>-660</v>
      </c>
      <c r="P26" s="16">
        <f t="shared" si="41"/>
        <v>-598</v>
      </c>
      <c r="Q26" s="39">
        <v>-2529</v>
      </c>
      <c r="R26" s="16">
        <v>-787</v>
      </c>
      <c r="S26" s="16">
        <v>-667</v>
      </c>
      <c r="T26" s="56">
        <v>-475</v>
      </c>
      <c r="U26" s="56">
        <f t="shared" si="42"/>
        <v>-585</v>
      </c>
      <c r="V26" s="69">
        <v>-2514</v>
      </c>
      <c r="W26" s="98">
        <v>-570</v>
      </c>
      <c r="X26" s="98">
        <v>-661</v>
      </c>
      <c r="Y26" s="98">
        <v>-817</v>
      </c>
      <c r="Z26" s="56">
        <v>-931</v>
      </c>
      <c r="AA26" s="69">
        <v>-2979</v>
      </c>
      <c r="AB26" s="56">
        <v>-622</v>
      </c>
      <c r="AC26" s="56">
        <v>-703</v>
      </c>
      <c r="AD26" s="56">
        <v>-743</v>
      </c>
      <c r="AE26" s="56">
        <v>-946</v>
      </c>
      <c r="AF26" s="69">
        <v>-3014</v>
      </c>
      <c r="AG26" s="56">
        <v>-941</v>
      </c>
      <c r="AH26" s="56">
        <v>-930</v>
      </c>
      <c r="AI26" s="56">
        <v>-675</v>
      </c>
      <c r="AJ26" s="56">
        <v>-812</v>
      </c>
      <c r="AK26" s="69">
        <v>-3358</v>
      </c>
      <c r="AL26" s="56">
        <v>-1076</v>
      </c>
      <c r="AM26" s="56">
        <v>-978</v>
      </c>
      <c r="AN26" s="56">
        <v>-914</v>
      </c>
      <c r="AO26" s="69">
        <f t="shared" si="1"/>
        <v>-2968</v>
      </c>
    </row>
    <row r="27" spans="2:41" x14ac:dyDescent="0.35">
      <c r="B27" s="2" t="s">
        <v>65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39"/>
        <v>-87</v>
      </c>
      <c r="G27" s="39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40"/>
        <v>47</v>
      </c>
      <c r="L27" s="39">
        <v>-213</v>
      </c>
      <c r="M27" s="16">
        <v>-3</v>
      </c>
      <c r="N27" s="7">
        <v>264</v>
      </c>
      <c r="O27" s="7">
        <v>45</v>
      </c>
      <c r="P27" s="16">
        <f t="shared" si="41"/>
        <v>-98</v>
      </c>
      <c r="Q27" s="36">
        <v>208</v>
      </c>
      <c r="R27" s="16">
        <v>-59</v>
      </c>
      <c r="S27" s="16">
        <v>-100</v>
      </c>
      <c r="T27" s="56">
        <v>49</v>
      </c>
      <c r="U27" s="56">
        <f t="shared" si="42"/>
        <v>-125</v>
      </c>
      <c r="V27" s="69">
        <v>-235</v>
      </c>
      <c r="W27" s="98">
        <v>-19</v>
      </c>
      <c r="X27" s="98">
        <v>26</v>
      </c>
      <c r="Y27" s="98">
        <v>-140</v>
      </c>
      <c r="Z27" s="56">
        <v>12</v>
      </c>
      <c r="AA27" s="69">
        <v>-121</v>
      </c>
      <c r="AB27" s="56">
        <v>263</v>
      </c>
      <c r="AC27" s="56">
        <v>211</v>
      </c>
      <c r="AD27" s="56">
        <v>102</v>
      </c>
      <c r="AE27" s="56">
        <v>3810</v>
      </c>
      <c r="AF27" s="69">
        <v>4386</v>
      </c>
      <c r="AG27" s="56">
        <v>-96</v>
      </c>
      <c r="AH27" s="56">
        <v>-22</v>
      </c>
      <c r="AI27" s="56">
        <v>449</v>
      </c>
      <c r="AJ27" s="56">
        <v>-102</v>
      </c>
      <c r="AK27" s="69">
        <v>229</v>
      </c>
      <c r="AL27" s="56"/>
      <c r="AM27" s="56"/>
      <c r="AN27" s="56"/>
      <c r="AO27" s="69">
        <f t="shared" si="1"/>
        <v>0</v>
      </c>
    </row>
    <row r="28" spans="2:41" x14ac:dyDescent="0.35">
      <c r="B28" s="2" t="s">
        <v>66</v>
      </c>
      <c r="C28" s="8">
        <v>244</v>
      </c>
      <c r="D28" s="8">
        <f>470-C28</f>
        <v>226</v>
      </c>
      <c r="E28" s="19">
        <f>453-D28-C28</f>
        <v>-17</v>
      </c>
      <c r="F28" s="8">
        <f t="shared" si="39"/>
        <v>82</v>
      </c>
      <c r="G28" s="44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40"/>
        <v>-828</v>
      </c>
      <c r="L28" s="40">
        <v>-724</v>
      </c>
      <c r="M28" s="19">
        <v>-57</v>
      </c>
      <c r="N28" s="19">
        <f>-717-M28</f>
        <v>-660</v>
      </c>
      <c r="O28" s="19">
        <v>-245</v>
      </c>
      <c r="P28" s="19">
        <f t="shared" si="41"/>
        <v>-14</v>
      </c>
      <c r="Q28" s="40">
        <v>-976</v>
      </c>
      <c r="R28" s="19">
        <v>-19</v>
      </c>
      <c r="S28" s="8">
        <v>59</v>
      </c>
      <c r="T28" s="59">
        <v>-238</v>
      </c>
      <c r="U28" s="59">
        <f t="shared" si="42"/>
        <v>61</v>
      </c>
      <c r="V28" s="72">
        <v>-137</v>
      </c>
      <c r="W28" s="100">
        <v>-1098</v>
      </c>
      <c r="X28" s="100">
        <v>-159</v>
      </c>
      <c r="Y28" s="100">
        <v>-148</v>
      </c>
      <c r="Z28" s="59">
        <v>378</v>
      </c>
      <c r="AA28" s="72">
        <v>-1027</v>
      </c>
      <c r="AB28" s="59">
        <v>-356</v>
      </c>
      <c r="AC28" s="59">
        <v>505</v>
      </c>
      <c r="AD28" s="59">
        <v>-367</v>
      </c>
      <c r="AE28" s="59">
        <v>-287</v>
      </c>
      <c r="AF28" s="72">
        <v>-505</v>
      </c>
      <c r="AG28" s="59">
        <v>497</v>
      </c>
      <c r="AH28" s="59">
        <v>-295</v>
      </c>
      <c r="AI28" s="59">
        <v>-316</v>
      </c>
      <c r="AJ28" s="59">
        <v>128</v>
      </c>
      <c r="AK28" s="72">
        <v>14</v>
      </c>
      <c r="AL28" s="59">
        <v>22</v>
      </c>
      <c r="AM28" s="59">
        <v>42</v>
      </c>
      <c r="AN28" s="59">
        <v>-265</v>
      </c>
      <c r="AO28" s="72">
        <f t="shared" si="1"/>
        <v>-201</v>
      </c>
    </row>
    <row r="29" spans="2:41" x14ac:dyDescent="0.35">
      <c r="B29" s="2"/>
      <c r="C29" s="17">
        <f t="shared" ref="C29:R29" si="43">SUM(C25:C28)</f>
        <v>-468</v>
      </c>
      <c r="D29" s="17">
        <f t="shared" si="43"/>
        <v>-567</v>
      </c>
      <c r="E29" s="17">
        <f t="shared" si="43"/>
        <v>-335</v>
      </c>
      <c r="F29" s="17">
        <f t="shared" si="43"/>
        <v>-347</v>
      </c>
      <c r="G29" s="37">
        <f t="shared" si="43"/>
        <v>-1717</v>
      </c>
      <c r="H29" s="17">
        <f t="shared" si="43"/>
        <v>-479</v>
      </c>
      <c r="I29" s="17">
        <f t="shared" si="43"/>
        <v>-197</v>
      </c>
      <c r="J29" s="17">
        <f t="shared" si="43"/>
        <v>-498</v>
      </c>
      <c r="K29" s="17">
        <f t="shared" si="43"/>
        <v>-1315</v>
      </c>
      <c r="L29" s="37">
        <f t="shared" si="43"/>
        <v>-2489</v>
      </c>
      <c r="M29" s="17">
        <f t="shared" si="43"/>
        <v>-389</v>
      </c>
      <c r="N29" s="17">
        <f t="shared" si="43"/>
        <v>-901</v>
      </c>
      <c r="O29" s="17">
        <f t="shared" si="43"/>
        <v>-624</v>
      </c>
      <c r="P29" s="17">
        <f t="shared" si="43"/>
        <v>-126</v>
      </c>
      <c r="Q29" s="37">
        <f t="shared" si="43"/>
        <v>-2040</v>
      </c>
      <c r="R29" s="17">
        <f t="shared" si="43"/>
        <v>-454</v>
      </c>
      <c r="S29" s="17">
        <v>-475</v>
      </c>
      <c r="T29" s="57">
        <f t="shared" ref="T29:AE29" si="44">SUM(T25:T28)</f>
        <v>-452</v>
      </c>
      <c r="U29" s="57">
        <f t="shared" si="44"/>
        <v>-236</v>
      </c>
      <c r="V29" s="70">
        <f t="shared" si="44"/>
        <v>-1617</v>
      </c>
      <c r="W29" s="99">
        <f t="shared" si="44"/>
        <v>-1517</v>
      </c>
      <c r="X29" s="99">
        <f t="shared" si="44"/>
        <v>-558</v>
      </c>
      <c r="Y29" s="99">
        <f t="shared" si="44"/>
        <v>-979</v>
      </c>
      <c r="Z29" s="57">
        <f t="shared" si="44"/>
        <v>-413</v>
      </c>
      <c r="AA29" s="70">
        <f t="shared" si="44"/>
        <v>-3467</v>
      </c>
      <c r="AB29" s="57">
        <f t="shared" si="44"/>
        <v>-521</v>
      </c>
      <c r="AC29" s="57">
        <f t="shared" si="44"/>
        <v>119</v>
      </c>
      <c r="AD29" s="57">
        <f t="shared" si="44"/>
        <v>-726</v>
      </c>
      <c r="AE29" s="57">
        <f t="shared" si="44"/>
        <v>2903</v>
      </c>
      <c r="AF29" s="70">
        <v>1775</v>
      </c>
      <c r="AG29" s="57">
        <f t="shared" ref="AG29" si="45">SUM(AG25:AG28)</f>
        <v>-208</v>
      </c>
      <c r="AH29" s="57">
        <f t="shared" ref="AH29:AI29" si="46">SUM(AH25:AH28)</f>
        <v>-833</v>
      </c>
      <c r="AI29" s="57">
        <f t="shared" si="46"/>
        <v>-98</v>
      </c>
      <c r="AJ29" s="57">
        <f t="shared" ref="AJ29:AL29" si="47">SUM(AJ25:AJ28)</f>
        <v>-350</v>
      </c>
      <c r="AK29" s="70">
        <v>-1489</v>
      </c>
      <c r="AL29" s="57">
        <f t="shared" si="47"/>
        <v>-461</v>
      </c>
      <c r="AM29" s="57">
        <f t="shared" ref="AM29:AN29" si="48">SUM(AM25:AM28)</f>
        <v>-256</v>
      </c>
      <c r="AN29" s="57">
        <f t="shared" si="48"/>
        <v>-794</v>
      </c>
      <c r="AO29" s="70">
        <f t="shared" si="1"/>
        <v>-1511</v>
      </c>
    </row>
    <row r="30" spans="2:41" x14ac:dyDescent="0.35">
      <c r="B30" s="1" t="s">
        <v>213</v>
      </c>
      <c r="C30" s="12">
        <f t="shared" ref="C30:R30" si="49">C17+C23+C29</f>
        <v>365</v>
      </c>
      <c r="D30" s="12">
        <f t="shared" si="49"/>
        <v>334</v>
      </c>
      <c r="E30" s="12">
        <f t="shared" si="49"/>
        <v>288</v>
      </c>
      <c r="F30" s="21">
        <f t="shared" si="49"/>
        <v>-2327</v>
      </c>
      <c r="G30" s="42">
        <f t="shared" si="49"/>
        <v>-1340</v>
      </c>
      <c r="H30" s="21">
        <f t="shared" si="49"/>
        <v>-357</v>
      </c>
      <c r="I30" s="12">
        <f t="shared" si="49"/>
        <v>903</v>
      </c>
      <c r="J30" s="12">
        <f t="shared" si="49"/>
        <v>551</v>
      </c>
      <c r="K30" s="22">
        <f t="shared" si="49"/>
        <v>-3</v>
      </c>
      <c r="L30" s="48">
        <f t="shared" si="49"/>
        <v>1094</v>
      </c>
      <c r="M30" s="12">
        <f t="shared" si="49"/>
        <v>502</v>
      </c>
      <c r="N30" s="12">
        <f t="shared" si="49"/>
        <v>276</v>
      </c>
      <c r="O30" s="12">
        <f t="shared" si="49"/>
        <v>199</v>
      </c>
      <c r="P30" s="12">
        <f t="shared" si="49"/>
        <v>2527</v>
      </c>
      <c r="Q30" s="48">
        <f t="shared" si="49"/>
        <v>3504</v>
      </c>
      <c r="R30" s="12">
        <f t="shared" si="49"/>
        <v>6764</v>
      </c>
      <c r="S30" s="12">
        <v>359</v>
      </c>
      <c r="T30" s="61">
        <f t="shared" ref="T30:AE30" si="50">T17+T23+T29</f>
        <v>-648</v>
      </c>
      <c r="U30" s="61">
        <f t="shared" si="50"/>
        <v>672</v>
      </c>
      <c r="V30" s="74">
        <f t="shared" si="50"/>
        <v>7147</v>
      </c>
      <c r="W30" s="101">
        <f t="shared" si="50"/>
        <v>-3771</v>
      </c>
      <c r="X30" s="101">
        <f t="shared" si="50"/>
        <v>-587</v>
      </c>
      <c r="Y30" s="101">
        <f t="shared" si="50"/>
        <v>583</v>
      </c>
      <c r="Z30" s="61">
        <f t="shared" si="50"/>
        <v>2308</v>
      </c>
      <c r="AA30" s="74">
        <f t="shared" si="50"/>
        <v>-1467</v>
      </c>
      <c r="AB30" s="61">
        <f t="shared" si="50"/>
        <v>1674</v>
      </c>
      <c r="AC30" s="61">
        <f t="shared" si="50"/>
        <v>3185</v>
      </c>
      <c r="AD30" s="61">
        <f t="shared" si="50"/>
        <v>1417</v>
      </c>
      <c r="AE30" s="61">
        <f t="shared" si="50"/>
        <v>4041</v>
      </c>
      <c r="AF30" s="74">
        <v>10317</v>
      </c>
      <c r="AG30" s="61">
        <f t="shared" ref="AG30" si="51">AG17+AG23+AG29</f>
        <v>2400</v>
      </c>
      <c r="AH30" s="61">
        <f t="shared" ref="AH30:AI30" si="52">AH17+AH23+AH29</f>
        <v>2069</v>
      </c>
      <c r="AI30" s="61">
        <f t="shared" si="52"/>
        <v>2021</v>
      </c>
      <c r="AJ30" s="61">
        <f t="shared" ref="AJ30:AL30" si="53">AJ17+AJ23+AJ29</f>
        <v>1126</v>
      </c>
      <c r="AK30" s="74">
        <v>7616</v>
      </c>
      <c r="AL30" s="61">
        <f t="shared" si="53"/>
        <v>783</v>
      </c>
      <c r="AM30" s="61">
        <f t="shared" ref="AM30:AN30" si="54">AM17+AM23+AM29</f>
        <v>385</v>
      </c>
      <c r="AN30" s="61">
        <f t="shared" si="54"/>
        <v>589</v>
      </c>
      <c r="AO30" s="74">
        <f t="shared" si="1"/>
        <v>1757</v>
      </c>
    </row>
    <row r="31" spans="2:41" x14ac:dyDescent="0.35">
      <c r="B31" s="2"/>
      <c r="C31" s="7"/>
      <c r="D31" s="7"/>
      <c r="E31" s="7"/>
      <c r="F31" s="7"/>
      <c r="G31" s="36"/>
      <c r="H31" s="7"/>
      <c r="I31" s="7"/>
      <c r="J31" s="7"/>
      <c r="K31" s="7"/>
      <c r="L31" s="36"/>
      <c r="M31" s="7"/>
      <c r="N31" s="7"/>
      <c r="O31" s="7"/>
      <c r="P31" s="7"/>
      <c r="Q31" s="36"/>
      <c r="R31" s="7"/>
      <c r="S31" s="7"/>
      <c r="T31" s="56"/>
      <c r="U31" s="56"/>
      <c r="V31" s="69"/>
      <c r="W31" s="98"/>
      <c r="X31" s="98"/>
      <c r="Y31" s="98"/>
      <c r="Z31" s="56"/>
      <c r="AA31" s="69"/>
      <c r="AB31" s="56"/>
      <c r="AC31" s="56"/>
      <c r="AD31" s="56"/>
      <c r="AE31" s="56"/>
      <c r="AF31" s="69"/>
      <c r="AG31" s="56"/>
      <c r="AH31" s="56"/>
      <c r="AI31" s="56"/>
      <c r="AJ31" s="56"/>
      <c r="AK31" s="69"/>
      <c r="AL31" s="56"/>
      <c r="AM31" s="56"/>
      <c r="AN31" s="56"/>
      <c r="AO31" s="69">
        <f t="shared" si="1"/>
        <v>0</v>
      </c>
    </row>
    <row r="32" spans="2:41" x14ac:dyDescent="0.35">
      <c r="B32" s="1" t="s">
        <v>72</v>
      </c>
      <c r="C32" s="7"/>
      <c r="D32" s="7"/>
      <c r="E32" s="7"/>
      <c r="F32" s="7"/>
      <c r="G32" s="36"/>
      <c r="H32" s="7"/>
      <c r="I32" s="7"/>
      <c r="J32" s="7"/>
      <c r="K32" s="7"/>
      <c r="L32" s="36"/>
      <c r="M32" s="7"/>
      <c r="N32" s="7"/>
      <c r="O32" s="7"/>
      <c r="P32" s="7"/>
      <c r="Q32" s="36"/>
      <c r="R32" s="7"/>
      <c r="S32" s="7"/>
      <c r="T32" s="56"/>
      <c r="U32" s="56"/>
      <c r="V32" s="69"/>
      <c r="W32" s="98"/>
      <c r="X32" s="98"/>
      <c r="Y32" s="98"/>
      <c r="Z32" s="56"/>
      <c r="AA32" s="69"/>
      <c r="AB32" s="56"/>
      <c r="AC32" s="56"/>
      <c r="AD32" s="56"/>
      <c r="AE32" s="56"/>
      <c r="AF32" s="69"/>
      <c r="AG32" s="56"/>
      <c r="AH32" s="56"/>
      <c r="AI32" s="56"/>
      <c r="AJ32" s="56"/>
      <c r="AK32" s="69"/>
      <c r="AL32" s="56"/>
      <c r="AM32" s="56"/>
      <c r="AN32" s="56"/>
      <c r="AO32" s="69">
        <f t="shared" si="1"/>
        <v>0</v>
      </c>
    </row>
    <row r="33" spans="1:41" x14ac:dyDescent="0.35">
      <c r="B33" s="2" t="s">
        <v>68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55">G33-E33-D33-C33</f>
        <v>7</v>
      </c>
      <c r="G33" s="39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56">L33-J33-I33-H33</f>
        <v>-240</v>
      </c>
      <c r="L33" s="39">
        <v>-722</v>
      </c>
      <c r="M33" s="16">
        <v>-201</v>
      </c>
      <c r="N33" s="16">
        <v>-86</v>
      </c>
      <c r="O33" s="16">
        <v>-109</v>
      </c>
      <c r="P33" s="16">
        <f t="shared" ref="P33:P34" si="57">Q33-O33-N33-M33</f>
        <v>-59</v>
      </c>
      <c r="Q33" s="39">
        <v>-455</v>
      </c>
      <c r="R33" s="16">
        <v>-1251</v>
      </c>
      <c r="S33" s="16">
        <v>-45</v>
      </c>
      <c r="T33" s="56">
        <v>-130</v>
      </c>
      <c r="U33" s="56">
        <f t="shared" ref="U33:U34" si="58">V33-SUM(R33:T33)</f>
        <v>-35</v>
      </c>
      <c r="V33" s="69">
        <v>-1461</v>
      </c>
      <c r="W33" s="98">
        <v>-137</v>
      </c>
      <c r="X33" s="98">
        <v>-91</v>
      </c>
      <c r="Y33" s="98">
        <v>-348</v>
      </c>
      <c r="Z33" s="56">
        <v>-324</v>
      </c>
      <c r="AA33" s="69">
        <v>-900</v>
      </c>
      <c r="AB33" s="56">
        <v>-736</v>
      </c>
      <c r="AC33" s="56">
        <v>-482</v>
      </c>
      <c r="AD33" s="56">
        <v>-530</v>
      </c>
      <c r="AE33" s="56">
        <v>-53</v>
      </c>
      <c r="AF33" s="69">
        <v>-1801</v>
      </c>
      <c r="AG33" s="56">
        <v>-366</v>
      </c>
      <c r="AH33" s="56">
        <v>-511</v>
      </c>
      <c r="AI33" s="56">
        <v>-536</v>
      </c>
      <c r="AJ33" s="56">
        <v>-104</v>
      </c>
      <c r="AK33" s="69">
        <v>-1517</v>
      </c>
      <c r="AL33" s="56">
        <v>-312</v>
      </c>
      <c r="AM33" s="56">
        <v>-262</v>
      </c>
      <c r="AN33" s="56">
        <v>-407</v>
      </c>
      <c r="AO33" s="69">
        <f t="shared" si="1"/>
        <v>-981</v>
      </c>
    </row>
    <row r="34" spans="1:41" x14ac:dyDescent="0.35">
      <c r="B34" s="2" t="s">
        <v>69</v>
      </c>
      <c r="C34" s="16">
        <v>-27</v>
      </c>
      <c r="D34" s="7">
        <f>167-C34</f>
        <v>194</v>
      </c>
      <c r="E34" s="7">
        <f>300-D34-C34</f>
        <v>133</v>
      </c>
      <c r="F34" s="7">
        <f t="shared" si="55"/>
        <v>570</v>
      </c>
      <c r="G34" s="36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56"/>
        <v>263</v>
      </c>
      <c r="L34" s="36">
        <v>586</v>
      </c>
      <c r="M34" s="16">
        <v>-55</v>
      </c>
      <c r="N34" s="16">
        <v>-4</v>
      </c>
      <c r="O34" s="7">
        <v>22</v>
      </c>
      <c r="P34" s="16">
        <f t="shared" si="57"/>
        <v>-519</v>
      </c>
      <c r="Q34" s="39">
        <v>-556</v>
      </c>
      <c r="R34" s="16">
        <v>-1123</v>
      </c>
      <c r="S34" s="16">
        <v>-51</v>
      </c>
      <c r="T34" s="56">
        <v>321</v>
      </c>
      <c r="U34" s="56">
        <f t="shared" si="58"/>
        <v>148</v>
      </c>
      <c r="V34" s="69">
        <v>-705</v>
      </c>
      <c r="W34" s="98">
        <v>508</v>
      </c>
      <c r="X34" s="98">
        <v>57</v>
      </c>
      <c r="Y34" s="98">
        <v>-191</v>
      </c>
      <c r="Z34" s="56">
        <v>-1060</v>
      </c>
      <c r="AA34" s="69">
        <v>-686</v>
      </c>
      <c r="AB34" s="56">
        <v>161</v>
      </c>
      <c r="AC34" s="56">
        <v>-437</v>
      </c>
      <c r="AD34" s="56">
        <v>80</v>
      </c>
      <c r="AE34" s="56">
        <v>-1435</v>
      </c>
      <c r="AF34" s="69">
        <v>-1631</v>
      </c>
      <c r="AG34" s="56">
        <v>-342</v>
      </c>
      <c r="AH34" s="56">
        <v>122</v>
      </c>
      <c r="AI34" s="56">
        <v>-288</v>
      </c>
      <c r="AJ34" s="56">
        <v>-144</v>
      </c>
      <c r="AK34" s="69">
        <v>-652</v>
      </c>
      <c r="AL34" s="56">
        <v>12</v>
      </c>
      <c r="AM34" s="56">
        <v>-103</v>
      </c>
      <c r="AN34" s="56">
        <v>92</v>
      </c>
      <c r="AO34" s="69">
        <f t="shared" si="1"/>
        <v>1</v>
      </c>
    </row>
    <row r="35" spans="1:41" x14ac:dyDescent="0.35">
      <c r="B35" s="2"/>
      <c r="C35" s="18">
        <f t="shared" ref="C35:R35" si="59">SUM(C33:C34)</f>
        <v>-142</v>
      </c>
      <c r="D35" s="9">
        <f t="shared" si="59"/>
        <v>2</v>
      </c>
      <c r="E35" s="18">
        <f t="shared" si="59"/>
        <v>-48</v>
      </c>
      <c r="F35" s="9">
        <f t="shared" si="59"/>
        <v>577</v>
      </c>
      <c r="G35" s="45">
        <f t="shared" si="59"/>
        <v>389</v>
      </c>
      <c r="H35" s="18">
        <f t="shared" si="59"/>
        <v>-96</v>
      </c>
      <c r="I35" s="18">
        <f t="shared" si="59"/>
        <v>-156</v>
      </c>
      <c r="J35" s="9">
        <f t="shared" si="59"/>
        <v>93</v>
      </c>
      <c r="K35" s="9">
        <f t="shared" si="59"/>
        <v>23</v>
      </c>
      <c r="L35" s="41">
        <f t="shared" si="59"/>
        <v>-136</v>
      </c>
      <c r="M35" s="18">
        <f t="shared" si="59"/>
        <v>-256</v>
      </c>
      <c r="N35" s="18">
        <f t="shared" si="59"/>
        <v>-90</v>
      </c>
      <c r="O35" s="18">
        <f t="shared" si="59"/>
        <v>-87</v>
      </c>
      <c r="P35" s="18">
        <f t="shared" si="59"/>
        <v>-578</v>
      </c>
      <c r="Q35" s="41">
        <f t="shared" si="59"/>
        <v>-1011</v>
      </c>
      <c r="R35" s="18">
        <f t="shared" si="59"/>
        <v>-2374</v>
      </c>
      <c r="S35" s="18">
        <v>-96</v>
      </c>
      <c r="T35" s="60">
        <f t="shared" ref="T35:AE35" si="60">SUM(T33:T34)</f>
        <v>191</v>
      </c>
      <c r="U35" s="60">
        <f t="shared" si="60"/>
        <v>113</v>
      </c>
      <c r="V35" s="73">
        <f t="shared" si="60"/>
        <v>-2166</v>
      </c>
      <c r="W35" s="103">
        <f t="shared" si="60"/>
        <v>371</v>
      </c>
      <c r="X35" s="103">
        <f t="shared" si="60"/>
        <v>-34</v>
      </c>
      <c r="Y35" s="103">
        <f t="shared" si="60"/>
        <v>-539</v>
      </c>
      <c r="Z35" s="60">
        <f t="shared" si="60"/>
        <v>-1384</v>
      </c>
      <c r="AA35" s="73">
        <f t="shared" si="60"/>
        <v>-1586</v>
      </c>
      <c r="AB35" s="60">
        <f t="shared" si="60"/>
        <v>-575</v>
      </c>
      <c r="AC35" s="60">
        <f t="shared" si="60"/>
        <v>-919</v>
      </c>
      <c r="AD35" s="60">
        <f t="shared" si="60"/>
        <v>-450</v>
      </c>
      <c r="AE35" s="60">
        <f t="shared" si="60"/>
        <v>-1488</v>
      </c>
      <c r="AF35" s="73">
        <v>-3432</v>
      </c>
      <c r="AG35" s="60">
        <f t="shared" ref="AG35" si="61">SUM(AG33:AG34)</f>
        <v>-708</v>
      </c>
      <c r="AH35" s="60">
        <f t="shared" ref="AH35:AI35" si="62">SUM(AH33:AH34)</f>
        <v>-389</v>
      </c>
      <c r="AI35" s="60">
        <f t="shared" si="62"/>
        <v>-824</v>
      </c>
      <c r="AJ35" s="60">
        <f t="shared" ref="AJ35:AL35" si="63">SUM(AJ33:AJ34)</f>
        <v>-248</v>
      </c>
      <c r="AK35" s="73">
        <v>-2169</v>
      </c>
      <c r="AL35" s="60">
        <f t="shared" si="63"/>
        <v>-300</v>
      </c>
      <c r="AM35" s="60">
        <f t="shared" ref="AM35:AN35" si="64">SUM(AM33:AM34)</f>
        <v>-365</v>
      </c>
      <c r="AN35" s="60">
        <f t="shared" si="64"/>
        <v>-315</v>
      </c>
      <c r="AO35" s="73">
        <f t="shared" si="1"/>
        <v>-980</v>
      </c>
    </row>
    <row r="36" spans="1:41" x14ac:dyDescent="0.35">
      <c r="B36" s="1" t="s">
        <v>212</v>
      </c>
      <c r="C36" s="12">
        <f t="shared" ref="C36:R36" si="65">C30+C35</f>
        <v>223</v>
      </c>
      <c r="D36" s="12">
        <f t="shared" si="65"/>
        <v>336</v>
      </c>
      <c r="E36" s="12">
        <f t="shared" si="65"/>
        <v>240</v>
      </c>
      <c r="F36" s="22">
        <f t="shared" si="65"/>
        <v>-1750</v>
      </c>
      <c r="G36" s="46">
        <f t="shared" si="65"/>
        <v>-951</v>
      </c>
      <c r="H36" s="22">
        <f t="shared" si="65"/>
        <v>-453</v>
      </c>
      <c r="I36" s="12">
        <f t="shared" si="65"/>
        <v>747</v>
      </c>
      <c r="J36" s="12">
        <f t="shared" si="65"/>
        <v>644</v>
      </c>
      <c r="K36" s="12">
        <f t="shared" si="65"/>
        <v>20</v>
      </c>
      <c r="L36" s="48">
        <f t="shared" si="65"/>
        <v>958</v>
      </c>
      <c r="M36" s="12">
        <f t="shared" si="65"/>
        <v>246</v>
      </c>
      <c r="N36" s="12">
        <f t="shared" si="65"/>
        <v>186</v>
      </c>
      <c r="O36" s="12">
        <f t="shared" si="65"/>
        <v>112</v>
      </c>
      <c r="P36" s="12">
        <f t="shared" si="65"/>
        <v>1949</v>
      </c>
      <c r="Q36" s="48">
        <f t="shared" si="65"/>
        <v>2493</v>
      </c>
      <c r="R36" s="12">
        <f t="shared" si="65"/>
        <v>4390</v>
      </c>
      <c r="S36" s="12">
        <v>263</v>
      </c>
      <c r="T36" s="61">
        <f t="shared" ref="T36:AE36" si="66">T30+T35</f>
        <v>-457</v>
      </c>
      <c r="U36" s="61">
        <f t="shared" si="66"/>
        <v>785</v>
      </c>
      <c r="V36" s="74">
        <f t="shared" si="66"/>
        <v>4981</v>
      </c>
      <c r="W36" s="101">
        <f t="shared" si="66"/>
        <v>-3400</v>
      </c>
      <c r="X36" s="101">
        <f t="shared" si="66"/>
        <v>-621</v>
      </c>
      <c r="Y36" s="101">
        <f t="shared" si="66"/>
        <v>44</v>
      </c>
      <c r="Z36" s="61">
        <f t="shared" si="66"/>
        <v>924</v>
      </c>
      <c r="AA36" s="74">
        <f t="shared" si="66"/>
        <v>-3053</v>
      </c>
      <c r="AB36" s="61">
        <f t="shared" si="66"/>
        <v>1099</v>
      </c>
      <c r="AC36" s="61">
        <f t="shared" si="66"/>
        <v>2266</v>
      </c>
      <c r="AD36" s="61">
        <f t="shared" si="66"/>
        <v>967</v>
      </c>
      <c r="AE36" s="61">
        <f t="shared" si="66"/>
        <v>2553</v>
      </c>
      <c r="AF36" s="74">
        <v>6885</v>
      </c>
      <c r="AG36" s="61">
        <f t="shared" ref="AG36" si="67">AG30+AG35</f>
        <v>1692</v>
      </c>
      <c r="AH36" s="61">
        <f t="shared" ref="AH36:AI36" si="68">AH30+AH35</f>
        <v>1680</v>
      </c>
      <c r="AI36" s="61">
        <f t="shared" si="68"/>
        <v>1197</v>
      </c>
      <c r="AJ36" s="61">
        <f t="shared" ref="AJ36:AL36" si="69">AJ30+AJ35</f>
        <v>878</v>
      </c>
      <c r="AK36" s="74">
        <v>5447</v>
      </c>
      <c r="AL36" s="61">
        <f t="shared" si="69"/>
        <v>483</v>
      </c>
      <c r="AM36" s="61">
        <f t="shared" ref="AM36:AN36" si="70">AM30+AM35</f>
        <v>20</v>
      </c>
      <c r="AN36" s="61">
        <f t="shared" si="70"/>
        <v>274</v>
      </c>
      <c r="AO36" s="74">
        <f t="shared" si="1"/>
        <v>777</v>
      </c>
    </row>
    <row r="37" spans="1:41" x14ac:dyDescent="0.35">
      <c r="B37" s="2"/>
      <c r="C37" s="7"/>
      <c r="D37" s="7"/>
      <c r="E37" s="7"/>
      <c r="F37" s="7"/>
      <c r="G37" s="36"/>
      <c r="H37" s="7"/>
      <c r="I37" s="7"/>
      <c r="J37" s="7"/>
      <c r="K37" s="7"/>
      <c r="L37" s="36"/>
      <c r="M37" s="7"/>
      <c r="N37" s="7"/>
      <c r="O37" s="7"/>
      <c r="P37" s="7"/>
      <c r="Q37" s="36"/>
      <c r="R37" s="7"/>
      <c r="S37" s="7"/>
      <c r="T37" s="56"/>
      <c r="U37" s="56"/>
      <c r="V37" s="69"/>
      <c r="W37" s="98"/>
      <c r="X37" s="98"/>
      <c r="Y37" s="98"/>
      <c r="Z37" s="56"/>
      <c r="AA37" s="69"/>
      <c r="AB37" s="56"/>
      <c r="AC37" s="56"/>
      <c r="AD37" s="56"/>
      <c r="AE37" s="56"/>
      <c r="AF37" s="69"/>
      <c r="AG37" s="56"/>
      <c r="AH37" s="56"/>
      <c r="AI37" s="56"/>
      <c r="AJ37" s="56"/>
      <c r="AK37" s="69"/>
      <c r="AL37" s="56"/>
      <c r="AM37" s="56"/>
      <c r="AN37" s="56"/>
      <c r="AO37" s="69">
        <f t="shared" si="1"/>
        <v>0</v>
      </c>
    </row>
    <row r="38" spans="1:41" x14ac:dyDescent="0.35">
      <c r="B38" s="1" t="s">
        <v>70</v>
      </c>
      <c r="C38" s="7"/>
      <c r="D38" s="7"/>
      <c r="E38" s="7"/>
      <c r="F38" s="7"/>
      <c r="G38" s="36"/>
      <c r="H38" s="7"/>
      <c r="I38" s="7"/>
      <c r="J38" s="7"/>
      <c r="K38" s="7"/>
      <c r="L38" s="36"/>
      <c r="M38" s="7"/>
      <c r="N38" s="7"/>
      <c r="O38" s="7"/>
      <c r="P38" s="7"/>
      <c r="Q38" s="36"/>
      <c r="R38" s="7"/>
      <c r="S38" s="7"/>
      <c r="T38" s="56"/>
      <c r="U38" s="56"/>
      <c r="V38" s="69"/>
      <c r="W38" s="98"/>
      <c r="X38" s="98"/>
      <c r="Y38" s="98"/>
      <c r="Z38" s="56"/>
      <c r="AA38" s="69"/>
      <c r="AB38" s="56"/>
      <c r="AC38" s="56"/>
      <c r="AD38" s="56"/>
      <c r="AE38" s="56"/>
      <c r="AF38" s="69"/>
      <c r="AG38" s="56"/>
      <c r="AH38" s="56"/>
      <c r="AI38" s="56"/>
      <c r="AJ38" s="56"/>
      <c r="AK38" s="69"/>
      <c r="AL38" s="56"/>
      <c r="AM38" s="56"/>
      <c r="AN38" s="56"/>
      <c r="AO38" s="69">
        <f t="shared" si="1"/>
        <v>0</v>
      </c>
    </row>
    <row r="39" spans="1:41" x14ac:dyDescent="0.35">
      <c r="B39" s="2" t="s">
        <v>71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71">G39-E39-D39-C39</f>
        <v>-112</v>
      </c>
      <c r="G39" s="39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72">L39-J39-I39-H39</f>
        <v>262</v>
      </c>
      <c r="L39" s="39">
        <v>-148</v>
      </c>
      <c r="M39" s="16">
        <v>-96</v>
      </c>
      <c r="N39" s="16">
        <v>-40</v>
      </c>
      <c r="O39" s="16"/>
      <c r="P39" s="16">
        <f t="shared" ref="P39" si="73">Q39-O39-N39-M39</f>
        <v>-47</v>
      </c>
      <c r="Q39" s="39">
        <v>-183</v>
      </c>
      <c r="R39" s="7">
        <v>1</v>
      </c>
      <c r="S39" s="16">
        <v>-37</v>
      </c>
      <c r="T39" s="56">
        <v>-1</v>
      </c>
      <c r="U39" s="56">
        <f>V39-SUM(R39:T39)</f>
        <v>-19</v>
      </c>
      <c r="V39" s="69">
        <v>-56</v>
      </c>
      <c r="W39" s="98">
        <v>-44</v>
      </c>
      <c r="X39" s="98">
        <v>-24</v>
      </c>
      <c r="Y39" s="98">
        <v>33</v>
      </c>
      <c r="Z39" s="56">
        <v>23</v>
      </c>
      <c r="AA39" s="69">
        <v>-12</v>
      </c>
      <c r="AB39" s="56">
        <v>29</v>
      </c>
      <c r="AC39" s="56">
        <v>7</v>
      </c>
      <c r="AD39" s="56">
        <v>101</v>
      </c>
      <c r="AE39" s="56">
        <v>98</v>
      </c>
      <c r="AF39" s="69">
        <v>235</v>
      </c>
      <c r="AG39" s="56">
        <v>0</v>
      </c>
      <c r="AH39" s="56">
        <v>0</v>
      </c>
      <c r="AI39" s="56">
        <v>0</v>
      </c>
      <c r="AJ39" s="56">
        <v>0</v>
      </c>
      <c r="AK39" s="84">
        <v>0</v>
      </c>
      <c r="AL39" s="56">
        <v>0</v>
      </c>
      <c r="AM39" s="56">
        <v>0</v>
      </c>
      <c r="AN39" s="56">
        <v>0</v>
      </c>
      <c r="AO39" s="84">
        <f t="shared" si="1"/>
        <v>0</v>
      </c>
    </row>
    <row r="40" spans="1:41" ht="15" thickBot="1" x14ac:dyDescent="0.4">
      <c r="B40" s="1" t="s">
        <v>211</v>
      </c>
      <c r="C40" s="13">
        <f t="shared" ref="C40:R40" si="74">C36+C39</f>
        <v>144</v>
      </c>
      <c r="D40" s="13">
        <f t="shared" si="74"/>
        <v>318</v>
      </c>
      <c r="E40" s="13">
        <f t="shared" si="74"/>
        <v>149</v>
      </c>
      <c r="F40" s="23">
        <f t="shared" si="74"/>
        <v>-1862</v>
      </c>
      <c r="G40" s="47">
        <f t="shared" si="74"/>
        <v>-1251</v>
      </c>
      <c r="H40" s="23">
        <f t="shared" si="74"/>
        <v>-546</v>
      </c>
      <c r="I40" s="13">
        <f t="shared" si="74"/>
        <v>554</v>
      </c>
      <c r="J40" s="13">
        <f t="shared" si="74"/>
        <v>520</v>
      </c>
      <c r="K40" s="13">
        <f t="shared" si="74"/>
        <v>282</v>
      </c>
      <c r="L40" s="49">
        <f t="shared" si="74"/>
        <v>810</v>
      </c>
      <c r="M40" s="13">
        <f t="shared" si="74"/>
        <v>150</v>
      </c>
      <c r="N40" s="13">
        <f t="shared" si="74"/>
        <v>146</v>
      </c>
      <c r="O40" s="13">
        <f t="shared" si="74"/>
        <v>112</v>
      </c>
      <c r="P40" s="13">
        <f t="shared" si="74"/>
        <v>1902</v>
      </c>
      <c r="Q40" s="49">
        <f t="shared" si="74"/>
        <v>2310</v>
      </c>
      <c r="R40" s="13">
        <f t="shared" si="74"/>
        <v>4391</v>
      </c>
      <c r="S40" s="13">
        <v>226</v>
      </c>
      <c r="T40" s="63">
        <f t="shared" ref="T40:AE40" si="75">T36+T39</f>
        <v>-458</v>
      </c>
      <c r="U40" s="63">
        <f t="shared" si="75"/>
        <v>766</v>
      </c>
      <c r="V40" s="76">
        <f t="shared" si="75"/>
        <v>4925</v>
      </c>
      <c r="W40" s="104">
        <f t="shared" si="75"/>
        <v>-3444</v>
      </c>
      <c r="X40" s="104">
        <f t="shared" si="75"/>
        <v>-645</v>
      </c>
      <c r="Y40" s="104">
        <f t="shared" si="75"/>
        <v>77</v>
      </c>
      <c r="Z40" s="63">
        <f t="shared" si="75"/>
        <v>947</v>
      </c>
      <c r="AA40" s="76">
        <f t="shared" si="75"/>
        <v>-3065</v>
      </c>
      <c r="AB40" s="63">
        <f t="shared" si="75"/>
        <v>1128</v>
      </c>
      <c r="AC40" s="63">
        <f t="shared" si="75"/>
        <v>2273</v>
      </c>
      <c r="AD40" s="63">
        <f t="shared" si="75"/>
        <v>1068</v>
      </c>
      <c r="AE40" s="63">
        <f t="shared" si="75"/>
        <v>2651</v>
      </c>
      <c r="AF40" s="76">
        <v>7120</v>
      </c>
      <c r="AG40" s="63">
        <f t="shared" ref="AG40" si="76">AG36+AG39</f>
        <v>1692</v>
      </c>
      <c r="AH40" s="63">
        <f t="shared" ref="AH40:AJ40" si="77">AH36+AH39</f>
        <v>1680</v>
      </c>
      <c r="AI40" s="63">
        <f t="shared" si="77"/>
        <v>1197</v>
      </c>
      <c r="AJ40" s="63">
        <f t="shared" si="77"/>
        <v>878</v>
      </c>
      <c r="AK40" s="76">
        <v>5447</v>
      </c>
      <c r="AL40" s="63">
        <f t="shared" ref="AL40" si="78">AL36+AL39</f>
        <v>483</v>
      </c>
      <c r="AM40" s="63">
        <f t="shared" ref="AM40:AN40" si="79">AM36+AM39</f>
        <v>20</v>
      </c>
      <c r="AN40" s="63">
        <f t="shared" si="79"/>
        <v>274</v>
      </c>
      <c r="AO40" s="76">
        <f t="shared" si="1"/>
        <v>777</v>
      </c>
    </row>
    <row r="41" spans="1:41" ht="15" thickTop="1" x14ac:dyDescent="0.35">
      <c r="B41" s="2"/>
      <c r="C41" s="7"/>
      <c r="D41" s="7"/>
      <c r="E41" s="7"/>
      <c r="F41" s="7"/>
      <c r="G41" s="36"/>
      <c r="H41" s="7"/>
      <c r="I41" s="7"/>
      <c r="J41" s="7"/>
      <c r="K41" s="7"/>
      <c r="L41" s="36"/>
      <c r="M41" s="7"/>
      <c r="N41" s="7"/>
      <c r="O41" s="7"/>
      <c r="P41" s="7"/>
      <c r="Q41" s="36"/>
      <c r="R41" s="7"/>
      <c r="S41" s="7"/>
      <c r="T41" s="56"/>
      <c r="U41" s="56"/>
      <c r="V41" s="69"/>
      <c r="W41" s="98"/>
      <c r="X41" s="98"/>
      <c r="Y41" s="98"/>
      <c r="Z41" s="56"/>
      <c r="AA41" s="69"/>
      <c r="AB41" s="56"/>
      <c r="AC41" s="56"/>
      <c r="AD41" s="56"/>
      <c r="AE41" s="56"/>
      <c r="AF41" s="69"/>
      <c r="AG41" s="56"/>
      <c r="AH41" s="56"/>
      <c r="AI41" s="56"/>
      <c r="AJ41" s="56"/>
      <c r="AK41" s="69"/>
      <c r="AL41" s="56"/>
      <c r="AM41" s="56"/>
      <c r="AN41" s="56"/>
      <c r="AO41" s="69">
        <f t="shared" si="1"/>
        <v>0</v>
      </c>
    </row>
    <row r="42" spans="1:41" x14ac:dyDescent="0.35">
      <c r="B42" s="2" t="s">
        <v>215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80">G42-E42-D42-C42</f>
        <v>-1801</v>
      </c>
      <c r="G42" s="39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81">L42-J42-I42-H42</f>
        <v>111</v>
      </c>
      <c r="L42" s="36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82">Q42-O42-N42-M42</f>
        <v>1809</v>
      </c>
      <c r="Q42" s="36">
        <v>2102</v>
      </c>
      <c r="R42" s="7">
        <v>4388</v>
      </c>
      <c r="S42" s="7">
        <v>189</v>
      </c>
      <c r="T42" s="56">
        <v>-198</v>
      </c>
      <c r="U42" s="56">
        <f t="shared" ref="U42:U43" si="83">V42-SUM(R42:T42)</f>
        <v>791</v>
      </c>
      <c r="V42" s="69">
        <v>5170</v>
      </c>
      <c r="W42" s="98">
        <v>-2189</v>
      </c>
      <c r="X42" s="98">
        <v>-422</v>
      </c>
      <c r="Y42" s="98">
        <v>135</v>
      </c>
      <c r="Z42" s="56">
        <v>840</v>
      </c>
      <c r="AA42" s="69">
        <v>-1636</v>
      </c>
      <c r="AB42" s="56">
        <v>1018</v>
      </c>
      <c r="AC42" s="56">
        <v>1941</v>
      </c>
      <c r="AD42" s="56">
        <v>977</v>
      </c>
      <c r="AE42" s="56">
        <v>2464</v>
      </c>
      <c r="AF42" s="69">
        <v>6400</v>
      </c>
      <c r="AG42" s="56">
        <v>1445</v>
      </c>
      <c r="AH42" s="56">
        <v>1169</v>
      </c>
      <c r="AI42" s="56">
        <v>1130</v>
      </c>
      <c r="AJ42" s="56">
        <v>1018</v>
      </c>
      <c r="AK42" s="69">
        <v>4762</v>
      </c>
      <c r="AL42" s="56">
        <v>478</v>
      </c>
      <c r="AM42" s="56">
        <v>162</v>
      </c>
      <c r="AN42" s="56">
        <v>327</v>
      </c>
      <c r="AO42" s="69">
        <f t="shared" si="1"/>
        <v>967</v>
      </c>
    </row>
    <row r="43" spans="1:41" x14ac:dyDescent="0.35">
      <c r="B43" s="2" t="s">
        <v>216</v>
      </c>
      <c r="C43" s="16">
        <v>-4</v>
      </c>
      <c r="D43" s="7">
        <f>60-C43</f>
        <v>64</v>
      </c>
      <c r="E43" s="7">
        <f>106-D43-C43</f>
        <v>46</v>
      </c>
      <c r="F43" s="16">
        <f t="shared" si="80"/>
        <v>-61</v>
      </c>
      <c r="G43" s="36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81"/>
        <v>171</v>
      </c>
      <c r="L43" s="36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82"/>
        <v>93</v>
      </c>
      <c r="Q43" s="36">
        <v>208</v>
      </c>
      <c r="R43" s="7">
        <v>3</v>
      </c>
      <c r="S43" s="7">
        <v>36</v>
      </c>
      <c r="T43" s="56">
        <v>-260</v>
      </c>
      <c r="U43" s="56">
        <f t="shared" si="83"/>
        <v>-24</v>
      </c>
      <c r="V43" s="69">
        <v>-245</v>
      </c>
      <c r="W43" s="98">
        <v>-1255</v>
      </c>
      <c r="X43" s="98">
        <v>-223</v>
      </c>
      <c r="Y43" s="98">
        <v>-58</v>
      </c>
      <c r="Z43" s="56">
        <v>107</v>
      </c>
      <c r="AA43" s="69">
        <v>-1429</v>
      </c>
      <c r="AB43" s="56">
        <v>110</v>
      </c>
      <c r="AC43" s="56">
        <v>332</v>
      </c>
      <c r="AD43" s="56">
        <v>91</v>
      </c>
      <c r="AE43" s="56">
        <v>187</v>
      </c>
      <c r="AF43" s="69">
        <v>720</v>
      </c>
      <c r="AG43" s="56">
        <v>247</v>
      </c>
      <c r="AH43" s="56">
        <v>511</v>
      </c>
      <c r="AI43" s="56">
        <v>67</v>
      </c>
      <c r="AJ43" s="56">
        <v>-124</v>
      </c>
      <c r="AK43" s="69">
        <v>701</v>
      </c>
      <c r="AL43" s="56">
        <v>5</v>
      </c>
      <c r="AM43" s="56">
        <v>-142</v>
      </c>
      <c r="AN43" s="56">
        <v>-53</v>
      </c>
      <c r="AO43" s="69">
        <f t="shared" si="1"/>
        <v>-190</v>
      </c>
    </row>
    <row r="44" spans="1:41" ht="15" thickBot="1" x14ac:dyDescent="0.4">
      <c r="B44" s="1" t="s">
        <v>214</v>
      </c>
      <c r="C44" s="13">
        <f t="shared" ref="C44:R44" si="84">C42+C43</f>
        <v>144</v>
      </c>
      <c r="D44" s="13">
        <f t="shared" si="84"/>
        <v>318</v>
      </c>
      <c r="E44" s="13">
        <f t="shared" si="84"/>
        <v>149</v>
      </c>
      <c r="F44" s="23">
        <f t="shared" si="84"/>
        <v>-1862</v>
      </c>
      <c r="G44" s="47">
        <f t="shared" si="84"/>
        <v>-1251</v>
      </c>
      <c r="H44" s="23">
        <f t="shared" si="84"/>
        <v>-546</v>
      </c>
      <c r="I44" s="13">
        <f t="shared" si="84"/>
        <v>554</v>
      </c>
      <c r="J44" s="13">
        <f t="shared" si="84"/>
        <v>520</v>
      </c>
      <c r="K44" s="13">
        <f t="shared" si="84"/>
        <v>282</v>
      </c>
      <c r="L44" s="49">
        <f t="shared" si="84"/>
        <v>810</v>
      </c>
      <c r="M44" s="13">
        <f t="shared" si="84"/>
        <v>150</v>
      </c>
      <c r="N44" s="13">
        <f t="shared" si="84"/>
        <v>146</v>
      </c>
      <c r="O44" s="13">
        <f t="shared" si="84"/>
        <v>112</v>
      </c>
      <c r="P44" s="13">
        <f t="shared" si="84"/>
        <v>1902</v>
      </c>
      <c r="Q44" s="49">
        <f t="shared" si="84"/>
        <v>2310</v>
      </c>
      <c r="R44" s="13">
        <f t="shared" si="84"/>
        <v>4391</v>
      </c>
      <c r="S44" s="13">
        <v>225</v>
      </c>
      <c r="T44" s="63">
        <f t="shared" ref="T44:AE44" si="85">T42+T43</f>
        <v>-458</v>
      </c>
      <c r="U44" s="63">
        <f t="shared" si="85"/>
        <v>767</v>
      </c>
      <c r="V44" s="76">
        <f t="shared" si="85"/>
        <v>4925</v>
      </c>
      <c r="W44" s="104">
        <f t="shared" si="85"/>
        <v>-3444</v>
      </c>
      <c r="X44" s="104">
        <f t="shared" si="85"/>
        <v>-645</v>
      </c>
      <c r="Y44" s="104">
        <f t="shared" si="85"/>
        <v>77</v>
      </c>
      <c r="Z44" s="63">
        <f t="shared" si="85"/>
        <v>947</v>
      </c>
      <c r="AA44" s="76">
        <f t="shared" si="85"/>
        <v>-3065</v>
      </c>
      <c r="AB44" s="63">
        <f t="shared" si="85"/>
        <v>1128</v>
      </c>
      <c r="AC44" s="63">
        <f t="shared" si="85"/>
        <v>2273</v>
      </c>
      <c r="AD44" s="63">
        <f t="shared" si="85"/>
        <v>1068</v>
      </c>
      <c r="AE44" s="63">
        <f t="shared" si="85"/>
        <v>2651</v>
      </c>
      <c r="AF44" s="76">
        <v>7120</v>
      </c>
      <c r="AG44" s="63">
        <f t="shared" ref="AG44" si="86">AG42+AG43</f>
        <v>1692</v>
      </c>
      <c r="AH44" s="63">
        <f t="shared" ref="AH44:AJ44" si="87">AH42+AH43</f>
        <v>1680</v>
      </c>
      <c r="AI44" s="63">
        <f t="shared" si="87"/>
        <v>1197</v>
      </c>
      <c r="AJ44" s="63">
        <f t="shared" si="87"/>
        <v>894</v>
      </c>
      <c r="AK44" s="76">
        <v>5463</v>
      </c>
      <c r="AL44" s="63">
        <f t="shared" ref="AL44" si="88">AL42+AL43</f>
        <v>483</v>
      </c>
      <c r="AM44" s="63">
        <f t="shared" ref="AM44:AN44" si="89">AM42+AM43</f>
        <v>20</v>
      </c>
      <c r="AN44" s="63">
        <f t="shared" si="89"/>
        <v>274</v>
      </c>
      <c r="AO44" s="76">
        <f t="shared" si="1"/>
        <v>777</v>
      </c>
    </row>
    <row r="45" spans="1:41" ht="15" thickTop="1" x14ac:dyDescent="0.35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</row>
    <row r="46" spans="1:41" x14ac:dyDescent="0.35">
      <c r="A46" s="27"/>
      <c r="B46" s="2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</row>
    <row r="47" spans="1:41" x14ac:dyDescent="0.35">
      <c r="B47" s="106" t="s">
        <v>199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</row>
    <row r="48" spans="1:41" x14ac:dyDescent="0.35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</row>
    <row r="49" spans="3:41" x14ac:dyDescent="0.35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</row>
    <row r="50" spans="3:41" x14ac:dyDescent="0.35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</row>
    <row r="51" spans="3:41" x14ac:dyDescent="0.35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3:41" x14ac:dyDescent="0.35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3:41" x14ac:dyDescent="0.35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</sheetData>
  <mergeCells count="8">
    <mergeCell ref="AL4:AO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  <ignoredError sqref="AO45:AO5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P114"/>
  <sheetViews>
    <sheetView showGridLines="0" zoomScale="85" zoomScaleNormal="85" workbookViewId="0">
      <pane xSplit="2" ySplit="6" topLeftCell="AK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9.08984375" defaultRowHeight="14.5" x14ac:dyDescent="0.35"/>
  <cols>
    <col min="1" max="1" width="3.36328125" style="78" customWidth="1"/>
    <col min="2" max="2" width="83.36328125" style="78" bestFit="1" customWidth="1"/>
    <col min="3" max="13" width="18" style="78" customWidth="1"/>
    <col min="14" max="14" width="18" style="80" customWidth="1"/>
    <col min="15" max="41" width="18" style="78" customWidth="1"/>
    <col min="42" max="42" width="12.1796875" style="78" bestFit="1" customWidth="1"/>
    <col min="43" max="16384" width="9.08984375" style="78"/>
  </cols>
  <sheetData>
    <row r="1" spans="2:42" customFormat="1" x14ac:dyDescent="0.35">
      <c r="N1" s="55"/>
      <c r="U1" s="78"/>
      <c r="Z1" s="78"/>
      <c r="AB1" s="78"/>
      <c r="AC1" s="78"/>
      <c r="AD1" s="78"/>
      <c r="AE1" s="78"/>
      <c r="AG1" s="78"/>
      <c r="AH1" s="78"/>
      <c r="AI1" s="78"/>
      <c r="AJ1" s="78"/>
      <c r="AL1" s="78"/>
      <c r="AM1" s="78"/>
      <c r="AN1" s="78"/>
    </row>
    <row r="2" spans="2:42" customFormat="1" x14ac:dyDescent="0.35">
      <c r="F2" s="25"/>
      <c r="H2" s="25"/>
      <c r="K2" s="25"/>
      <c r="N2" s="55"/>
      <c r="P2" s="25"/>
      <c r="U2" s="78"/>
      <c r="Z2" s="78"/>
      <c r="AB2" s="78"/>
      <c r="AC2" s="78"/>
      <c r="AD2" s="78"/>
      <c r="AE2" s="78"/>
      <c r="AG2" s="78"/>
      <c r="AH2" s="78"/>
      <c r="AI2" s="78"/>
      <c r="AJ2" s="78"/>
      <c r="AL2" s="78"/>
      <c r="AM2" s="78"/>
      <c r="AN2" s="78"/>
    </row>
    <row r="3" spans="2:42" customFormat="1" x14ac:dyDescent="0.35">
      <c r="N3" s="55"/>
      <c r="U3" s="78"/>
      <c r="Z3" s="78"/>
      <c r="AB3" s="78"/>
      <c r="AC3" s="78"/>
      <c r="AD3" s="78"/>
      <c r="AE3" s="78"/>
      <c r="AG3" s="78"/>
      <c r="AH3" s="78"/>
      <c r="AI3" s="78"/>
      <c r="AJ3" s="78"/>
      <c r="AL3" s="78"/>
      <c r="AM3" s="78"/>
      <c r="AN3" s="78"/>
    </row>
    <row r="4" spans="2:42" customFormat="1" ht="15" customHeight="1" x14ac:dyDescent="0.35">
      <c r="B4" s="3"/>
      <c r="C4" s="112" t="s">
        <v>0</v>
      </c>
      <c r="D4" s="112"/>
      <c r="E4" s="112"/>
      <c r="F4" s="112"/>
      <c r="G4" s="112"/>
      <c r="H4" s="113" t="s">
        <v>1</v>
      </c>
      <c r="I4" s="113"/>
      <c r="J4" s="113"/>
      <c r="K4" s="113"/>
      <c r="L4" s="113"/>
      <c r="M4" s="113" t="s">
        <v>2</v>
      </c>
      <c r="N4" s="113"/>
      <c r="O4" s="113"/>
      <c r="P4" s="113"/>
      <c r="Q4" s="113"/>
      <c r="R4" s="111">
        <v>2019</v>
      </c>
      <c r="S4" s="111"/>
      <c r="T4" s="111"/>
      <c r="U4" s="111"/>
      <c r="V4" s="111"/>
      <c r="W4" s="111">
        <v>2020</v>
      </c>
      <c r="X4" s="111"/>
      <c r="Y4" s="111"/>
      <c r="Z4" s="111"/>
      <c r="AA4" s="111"/>
      <c r="AB4" s="111">
        <v>2021</v>
      </c>
      <c r="AC4" s="111"/>
      <c r="AD4" s="111"/>
      <c r="AE4" s="111"/>
      <c r="AF4" s="111"/>
      <c r="AG4" s="111">
        <v>2022</v>
      </c>
      <c r="AH4" s="111"/>
      <c r="AI4" s="111"/>
      <c r="AJ4" s="111"/>
      <c r="AK4" s="111"/>
      <c r="AL4" s="111">
        <v>2023</v>
      </c>
      <c r="AM4" s="111"/>
      <c r="AN4" s="111"/>
      <c r="AO4" s="111"/>
    </row>
    <row r="5" spans="2:42" customFormat="1" ht="15.5" x14ac:dyDescent="0.35">
      <c r="B5" s="4" t="s">
        <v>166</v>
      </c>
      <c r="C5" s="112"/>
      <c r="D5" s="112"/>
      <c r="E5" s="112"/>
      <c r="F5" s="112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</row>
    <row r="6" spans="2:42" customFormat="1" ht="15.5" x14ac:dyDescent="0.3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186</v>
      </c>
      <c r="S6" s="6" t="s">
        <v>171</v>
      </c>
      <c r="T6" s="6" t="s">
        <v>179</v>
      </c>
      <c r="U6" s="95" t="s">
        <v>181</v>
      </c>
      <c r="V6" s="68" t="s">
        <v>180</v>
      </c>
      <c r="W6" s="6" t="s">
        <v>182</v>
      </c>
      <c r="X6" s="6" t="s">
        <v>192</v>
      </c>
      <c r="Y6" s="6" t="s">
        <v>193</v>
      </c>
      <c r="Z6" s="95" t="s">
        <v>196</v>
      </c>
      <c r="AA6" s="68" t="s">
        <v>195</v>
      </c>
      <c r="AB6" s="95" t="s">
        <v>200</v>
      </c>
      <c r="AC6" s="95" t="s">
        <v>203</v>
      </c>
      <c r="AD6" s="95" t="s">
        <v>206</v>
      </c>
      <c r="AE6" s="95" t="s">
        <v>224</v>
      </c>
      <c r="AF6" s="34">
        <v>2021</v>
      </c>
      <c r="AG6" s="95" t="s">
        <v>232</v>
      </c>
      <c r="AH6" s="95" t="s">
        <v>239</v>
      </c>
      <c r="AI6" s="95" t="s">
        <v>242</v>
      </c>
      <c r="AJ6" s="95" t="s">
        <v>244</v>
      </c>
      <c r="AK6" s="34">
        <v>2022</v>
      </c>
      <c r="AL6" s="95" t="s">
        <v>247</v>
      </c>
      <c r="AM6" s="95" t="s">
        <v>248</v>
      </c>
      <c r="AN6" s="95" t="s">
        <v>250</v>
      </c>
      <c r="AO6" s="34">
        <v>2023</v>
      </c>
    </row>
    <row r="7" spans="2:42" x14ac:dyDescent="0.35">
      <c r="B7" s="77" t="s">
        <v>73</v>
      </c>
      <c r="G7" s="79"/>
      <c r="L7" s="79"/>
      <c r="Q7" s="79"/>
      <c r="V7" s="79"/>
      <c r="AA7" s="79"/>
      <c r="AF7" s="79"/>
      <c r="AK7" s="79"/>
      <c r="AO7" s="79"/>
    </row>
    <row r="8" spans="2:42" x14ac:dyDescent="0.35">
      <c r="B8" s="77"/>
      <c r="G8" s="79"/>
      <c r="L8" s="79"/>
      <c r="Q8" s="79"/>
      <c r="V8" s="79"/>
      <c r="AA8" s="79"/>
      <c r="AF8" s="79"/>
      <c r="AK8" s="79"/>
      <c r="AO8" s="79"/>
    </row>
    <row r="9" spans="2:42" s="82" customFormat="1" x14ac:dyDescent="0.35">
      <c r="B9" s="77" t="s">
        <v>67</v>
      </c>
      <c r="C9" s="58">
        <v>365</v>
      </c>
      <c r="D9" s="58">
        <f>699-C9</f>
        <v>334</v>
      </c>
      <c r="E9" s="58">
        <f>987-C9-D9</f>
        <v>288</v>
      </c>
      <c r="F9" s="58">
        <f>G9-SUM(C9:E9)</f>
        <v>-2327</v>
      </c>
      <c r="G9" s="81">
        <v>-1340</v>
      </c>
      <c r="H9" s="58">
        <v>-357</v>
      </c>
      <c r="I9" s="58">
        <f>546-H9</f>
        <v>903</v>
      </c>
      <c r="J9" s="58">
        <f>1097-I9-H9</f>
        <v>551</v>
      </c>
      <c r="K9" s="58">
        <f>L9-SUM(H9:J9)</f>
        <v>-3</v>
      </c>
      <c r="L9" s="81">
        <v>1094</v>
      </c>
      <c r="M9" s="58">
        <v>502</v>
      </c>
      <c r="N9" s="58">
        <v>276</v>
      </c>
      <c r="O9" s="58">
        <f>977-N9-M9</f>
        <v>199</v>
      </c>
      <c r="P9" s="58">
        <f>Q9-SUM(M9:O9)</f>
        <v>2527</v>
      </c>
      <c r="Q9" s="81">
        <v>3504</v>
      </c>
      <c r="R9" s="58">
        <v>6764</v>
      </c>
      <c r="S9" s="58">
        <v>358</v>
      </c>
      <c r="T9" s="58">
        <v>-648</v>
      </c>
      <c r="U9" s="58">
        <v>654</v>
      </c>
      <c r="V9" s="81">
        <v>7128</v>
      </c>
      <c r="W9" s="58">
        <v>-3810</v>
      </c>
      <c r="X9" s="58">
        <v>-607</v>
      </c>
      <c r="Y9" s="58">
        <v>621</v>
      </c>
      <c r="Z9" s="58">
        <v>2322</v>
      </c>
      <c r="AA9" s="81">
        <v>-1474</v>
      </c>
      <c r="AB9" s="58">
        <v>1713</v>
      </c>
      <c r="AC9" s="58">
        <v>3214</v>
      </c>
      <c r="AD9" s="58">
        <v>1545</v>
      </c>
      <c r="AE9" s="58">
        <v>3845</v>
      </c>
      <c r="AF9" s="81">
        <f>SUM(AB9:AE9)</f>
        <v>10317</v>
      </c>
      <c r="AG9" s="58">
        <v>2400</v>
      </c>
      <c r="AH9" s="56">
        <v>2069</v>
      </c>
      <c r="AI9" s="56">
        <v>2021</v>
      </c>
      <c r="AJ9" s="56">
        <v>1126</v>
      </c>
      <c r="AK9" s="81">
        <f>SUM(AG9:AJ9)</f>
        <v>7616</v>
      </c>
      <c r="AL9" s="56">
        <v>783</v>
      </c>
      <c r="AM9" s="56">
        <v>385</v>
      </c>
      <c r="AN9" s="58">
        <v>589</v>
      </c>
      <c r="AO9" s="81">
        <f>SUM(AL9:AN9)</f>
        <v>1757</v>
      </c>
    </row>
    <row r="10" spans="2:42" x14ac:dyDescent="0.35">
      <c r="B10" s="83"/>
      <c r="C10" s="56"/>
      <c r="D10" s="56"/>
      <c r="E10" s="56"/>
      <c r="F10" s="56"/>
      <c r="G10" s="84"/>
      <c r="H10" s="56"/>
      <c r="I10" s="56"/>
      <c r="J10" s="56"/>
      <c r="K10" s="56"/>
      <c r="L10" s="84"/>
      <c r="M10" s="56"/>
      <c r="N10" s="56"/>
      <c r="O10" s="56"/>
      <c r="P10" s="56"/>
      <c r="Q10" s="84"/>
      <c r="R10" s="56"/>
      <c r="S10" s="56"/>
      <c r="T10" s="56"/>
      <c r="U10" s="56"/>
      <c r="V10" s="84"/>
      <c r="W10" s="56"/>
      <c r="X10" s="56"/>
      <c r="Y10" s="56"/>
      <c r="Z10" s="56"/>
      <c r="AA10" s="84"/>
      <c r="AB10" s="56"/>
      <c r="AC10" s="56"/>
      <c r="AD10" s="56"/>
      <c r="AE10" s="56"/>
      <c r="AF10" s="84"/>
      <c r="AG10" s="56"/>
      <c r="AH10" s="56"/>
      <c r="AI10" s="56"/>
      <c r="AJ10" s="56"/>
      <c r="AK10" s="84"/>
      <c r="AL10" s="56"/>
      <c r="AM10" s="56"/>
      <c r="AN10" s="56"/>
      <c r="AO10" s="84"/>
      <c r="AP10" s="82"/>
    </row>
    <row r="11" spans="2:42" x14ac:dyDescent="0.35">
      <c r="B11" s="83" t="s">
        <v>71</v>
      </c>
      <c r="C11" s="56">
        <v>-79</v>
      </c>
      <c r="D11" s="56">
        <f>-97-C11</f>
        <v>-18</v>
      </c>
      <c r="E11" s="56">
        <f>-188-C11-D11</f>
        <v>-91</v>
      </c>
      <c r="F11" s="56">
        <f>G11-SUM(C11:E11)</f>
        <v>-112</v>
      </c>
      <c r="G11" s="84">
        <v>-300</v>
      </c>
      <c r="H11" s="56">
        <v>-93</v>
      </c>
      <c r="I11" s="56">
        <f>-286-H11</f>
        <v>-193</v>
      </c>
      <c r="J11" s="56">
        <f>-410-H11-I11</f>
        <v>-124</v>
      </c>
      <c r="K11" s="56">
        <f>L11-SUM(H11:J11)</f>
        <v>262</v>
      </c>
      <c r="L11" s="84">
        <v>-148</v>
      </c>
      <c r="M11" s="56">
        <v>-96</v>
      </c>
      <c r="N11" s="56">
        <v>-40</v>
      </c>
      <c r="O11" s="56">
        <f>-136-M11-N11</f>
        <v>0</v>
      </c>
      <c r="P11" s="56">
        <f>Q11-SUM(M11:O11)</f>
        <v>-47</v>
      </c>
      <c r="Q11" s="84">
        <v>-183</v>
      </c>
      <c r="R11" s="56">
        <v>1</v>
      </c>
      <c r="S11" s="56">
        <v>-37</v>
      </c>
      <c r="T11" s="56">
        <v>-1</v>
      </c>
      <c r="U11" s="56">
        <v>0</v>
      </c>
      <c r="V11" s="84">
        <v>-37</v>
      </c>
      <c r="W11" s="56">
        <v>0</v>
      </c>
      <c r="X11" s="56">
        <v>-1</v>
      </c>
      <c r="Y11" s="56">
        <v>0</v>
      </c>
      <c r="Z11" s="56">
        <v>2</v>
      </c>
      <c r="AA11" s="84">
        <v>1</v>
      </c>
      <c r="AB11" s="56">
        <v>0</v>
      </c>
      <c r="AC11" s="56">
        <v>0</v>
      </c>
      <c r="AD11" s="56">
        <v>0</v>
      </c>
      <c r="AE11" s="56">
        <v>235</v>
      </c>
      <c r="AF11" s="84">
        <f>SUM(AB11:AE11)</f>
        <v>235</v>
      </c>
      <c r="AG11" s="56">
        <v>0</v>
      </c>
      <c r="AH11" s="56">
        <v>0</v>
      </c>
      <c r="AI11" s="56">
        <v>0</v>
      </c>
      <c r="AJ11" s="56">
        <v>16</v>
      </c>
      <c r="AK11" s="84">
        <f>SUM(AG11:AJ11)</f>
        <v>16</v>
      </c>
      <c r="AL11" s="56">
        <v>0</v>
      </c>
      <c r="AM11" s="56">
        <v>0</v>
      </c>
      <c r="AN11" s="56">
        <v>0</v>
      </c>
      <c r="AO11" s="84">
        <f>SUM(AL11:AN11)</f>
        <v>0</v>
      </c>
      <c r="AP11" s="82"/>
    </row>
    <row r="12" spans="2:42" x14ac:dyDescent="0.35">
      <c r="B12" s="83"/>
      <c r="C12" s="56"/>
      <c r="D12" s="56"/>
      <c r="E12" s="56"/>
      <c r="F12" s="56"/>
      <c r="G12" s="84"/>
      <c r="H12" s="56"/>
      <c r="I12" s="56"/>
      <c r="J12" s="56"/>
      <c r="K12" s="56"/>
      <c r="L12" s="84"/>
      <c r="M12" s="56"/>
      <c r="N12" s="56"/>
      <c r="O12" s="56"/>
      <c r="P12" s="56"/>
      <c r="Q12" s="84"/>
      <c r="R12" s="56"/>
      <c r="S12" s="56"/>
      <c r="T12" s="56"/>
      <c r="U12" s="56"/>
      <c r="V12" s="84"/>
      <c r="W12" s="56"/>
      <c r="X12" s="56"/>
      <c r="Y12" s="56"/>
      <c r="Z12" s="56"/>
      <c r="AA12" s="84"/>
      <c r="AB12" s="56"/>
      <c r="AC12" s="56"/>
      <c r="AD12" s="56"/>
      <c r="AE12" s="56"/>
      <c r="AF12" s="84"/>
      <c r="AG12" s="56"/>
      <c r="AH12" s="56"/>
      <c r="AI12" s="56"/>
      <c r="AJ12" s="56"/>
      <c r="AK12" s="84"/>
      <c r="AL12" s="56"/>
      <c r="AM12" s="56"/>
      <c r="AN12" s="56"/>
      <c r="AO12" s="84"/>
      <c r="AP12" s="82"/>
    </row>
    <row r="13" spans="2:42" x14ac:dyDescent="0.35">
      <c r="B13" s="83" t="s">
        <v>74</v>
      </c>
      <c r="C13" s="56"/>
      <c r="D13" s="56"/>
      <c r="E13" s="56"/>
      <c r="F13" s="56"/>
      <c r="G13" s="84"/>
      <c r="H13" s="56"/>
      <c r="I13" s="56"/>
      <c r="J13" s="56"/>
      <c r="K13" s="56"/>
      <c r="L13" s="84"/>
      <c r="M13" s="56"/>
      <c r="N13" s="56"/>
      <c r="O13" s="56"/>
      <c r="P13" s="56"/>
      <c r="Q13" s="84"/>
      <c r="R13" s="56"/>
      <c r="S13" s="56"/>
      <c r="T13" s="56"/>
      <c r="U13" s="56"/>
      <c r="V13" s="84"/>
      <c r="W13" s="56"/>
      <c r="X13" s="56"/>
      <c r="Y13" s="56"/>
      <c r="Z13" s="56"/>
      <c r="AA13" s="84"/>
      <c r="AB13" s="56"/>
      <c r="AC13" s="56"/>
      <c r="AD13" s="56"/>
      <c r="AE13" s="56"/>
      <c r="AF13" s="84"/>
      <c r="AG13" s="56"/>
      <c r="AH13" s="56"/>
      <c r="AI13" s="56"/>
      <c r="AJ13" s="56"/>
      <c r="AK13" s="84"/>
      <c r="AL13" s="56"/>
      <c r="AM13" s="56"/>
      <c r="AN13" s="56"/>
      <c r="AO13" s="84"/>
      <c r="AP13" s="82"/>
    </row>
    <row r="14" spans="2:42" x14ac:dyDescent="0.35">
      <c r="B14" s="85" t="s">
        <v>122</v>
      </c>
      <c r="C14" s="56">
        <v>0</v>
      </c>
      <c r="D14" s="56">
        <v>0</v>
      </c>
      <c r="E14" s="56">
        <v>0</v>
      </c>
      <c r="F14" s="56">
        <f t="shared" ref="F14:F43" si="0">G14-SUM(C14:E14)</f>
        <v>0</v>
      </c>
      <c r="G14" s="84">
        <v>0</v>
      </c>
      <c r="H14" s="56">
        <v>0</v>
      </c>
      <c r="I14" s="56">
        <v>0</v>
      </c>
      <c r="J14" s="56">
        <v>0</v>
      </c>
      <c r="K14" s="56">
        <f t="shared" ref="K14:K43" si="1">L14-SUM(H14:J14)</f>
        <v>-23</v>
      </c>
      <c r="L14" s="84">
        <f>-133-118+228</f>
        <v>-23</v>
      </c>
      <c r="M14" s="56">
        <v>0</v>
      </c>
      <c r="N14" s="56">
        <v>0</v>
      </c>
      <c r="O14" s="56">
        <v>0</v>
      </c>
      <c r="P14" s="56">
        <f t="shared" ref="P14:P43" si="2">Q14-SUM(M14:O14)</f>
        <v>0</v>
      </c>
      <c r="Q14" s="84">
        <v>0</v>
      </c>
      <c r="R14" s="56">
        <v>0</v>
      </c>
      <c r="S14" s="56">
        <v>0</v>
      </c>
      <c r="T14" s="56">
        <v>0</v>
      </c>
      <c r="U14" s="56">
        <v>0</v>
      </c>
      <c r="V14" s="84">
        <v>0</v>
      </c>
      <c r="W14" s="56">
        <v>0</v>
      </c>
      <c r="X14" s="56">
        <v>0</v>
      </c>
      <c r="Y14" s="56">
        <v>0</v>
      </c>
      <c r="Z14" s="56">
        <v>0</v>
      </c>
      <c r="AA14" s="84">
        <v>0</v>
      </c>
      <c r="AB14" s="56">
        <v>0</v>
      </c>
      <c r="AC14" s="56">
        <v>0</v>
      </c>
      <c r="AD14" s="56">
        <v>0</v>
      </c>
      <c r="AE14" s="56"/>
      <c r="AF14" s="84">
        <f t="shared" ref="AF14:AF43" si="3">SUM(AB14:AE14)</f>
        <v>0</v>
      </c>
      <c r="AG14" s="56">
        <v>0</v>
      </c>
      <c r="AH14" s="56">
        <v>0</v>
      </c>
      <c r="AI14" s="56">
        <v>0</v>
      </c>
      <c r="AJ14" s="56">
        <v>0</v>
      </c>
      <c r="AK14" s="84">
        <f t="shared" ref="AK14:AK43" si="4">SUM(AG14:AJ14)</f>
        <v>0</v>
      </c>
      <c r="AL14" s="56">
        <v>0</v>
      </c>
      <c r="AM14" s="56">
        <v>0</v>
      </c>
      <c r="AN14" s="56">
        <v>0</v>
      </c>
      <c r="AO14" s="84">
        <f t="shared" ref="AO14:AO44" si="5">SUM(AL14:AN14)</f>
        <v>0</v>
      </c>
      <c r="AP14" s="82"/>
    </row>
    <row r="15" spans="2:42" x14ac:dyDescent="0.35">
      <c r="B15" s="83" t="s">
        <v>226</v>
      </c>
      <c r="C15" s="56">
        <v>688</v>
      </c>
      <c r="D15" s="56">
        <f>1340-C15</f>
        <v>652</v>
      </c>
      <c r="E15" s="56">
        <f>1961-C15-D15</f>
        <v>621</v>
      </c>
      <c r="F15" s="56">
        <f t="shared" si="0"/>
        <v>642</v>
      </c>
      <c r="G15" s="84">
        <v>2603</v>
      </c>
      <c r="H15" s="56">
        <v>592</v>
      </c>
      <c r="I15" s="56">
        <f>1171-H15</f>
        <v>579</v>
      </c>
      <c r="J15" s="56">
        <f>1730-H15-I15</f>
        <v>559</v>
      </c>
      <c r="K15" s="56">
        <f t="shared" si="1"/>
        <v>595</v>
      </c>
      <c r="L15" s="84">
        <v>2325</v>
      </c>
      <c r="M15" s="56">
        <v>595</v>
      </c>
      <c r="N15" s="56">
        <v>622</v>
      </c>
      <c r="O15" s="56">
        <f>1876-M15-N15</f>
        <v>659</v>
      </c>
      <c r="P15" s="56">
        <f t="shared" si="2"/>
        <v>579</v>
      </c>
      <c r="Q15" s="84">
        <v>2455</v>
      </c>
      <c r="R15" s="56">
        <v>729</v>
      </c>
      <c r="S15" s="56">
        <v>762</v>
      </c>
      <c r="T15" s="56">
        <v>802</v>
      </c>
      <c r="U15" s="56">
        <v>774</v>
      </c>
      <c r="V15" s="84">
        <v>3067</v>
      </c>
      <c r="W15" s="56">
        <v>756</v>
      </c>
      <c r="X15" s="56">
        <v>793</v>
      </c>
      <c r="Y15" s="56">
        <v>871</v>
      </c>
      <c r="Z15" s="56">
        <v>873</v>
      </c>
      <c r="AA15" s="84">
        <v>3293</v>
      </c>
      <c r="AB15" s="56">
        <v>847</v>
      </c>
      <c r="AC15" s="56">
        <v>920</v>
      </c>
      <c r="AD15" s="56">
        <v>949</v>
      </c>
      <c r="AE15" s="56">
        <v>921</v>
      </c>
      <c r="AF15" s="84">
        <f t="shared" si="3"/>
        <v>3637</v>
      </c>
      <c r="AG15" s="56">
        <v>943</v>
      </c>
      <c r="AH15" s="56">
        <v>926</v>
      </c>
      <c r="AI15" s="56">
        <v>986</v>
      </c>
      <c r="AJ15" s="56">
        <v>1128</v>
      </c>
      <c r="AK15" s="84">
        <f t="shared" si="4"/>
        <v>3983</v>
      </c>
      <c r="AL15" s="56">
        <v>985</v>
      </c>
      <c r="AM15" s="56">
        <v>981</v>
      </c>
      <c r="AN15" s="56">
        <v>952</v>
      </c>
      <c r="AO15" s="84">
        <f t="shared" si="5"/>
        <v>2918</v>
      </c>
      <c r="AP15" s="82"/>
    </row>
    <row r="16" spans="2:42" x14ac:dyDescent="0.35">
      <c r="B16" s="83" t="s">
        <v>225</v>
      </c>
      <c r="C16" s="56">
        <v>0</v>
      </c>
      <c r="D16" s="56">
        <v>0</v>
      </c>
      <c r="E16" s="56">
        <v>0</v>
      </c>
      <c r="F16" s="56">
        <v>0</v>
      </c>
      <c r="G16" s="84">
        <v>0</v>
      </c>
      <c r="H16" s="56">
        <v>0</v>
      </c>
      <c r="I16" s="56">
        <v>0</v>
      </c>
      <c r="J16" s="56">
        <v>0</v>
      </c>
      <c r="K16" s="56">
        <v>0</v>
      </c>
      <c r="L16" s="84">
        <v>0</v>
      </c>
      <c r="M16" s="56">
        <v>0</v>
      </c>
      <c r="N16" s="56">
        <v>0</v>
      </c>
      <c r="O16" s="56">
        <v>0</v>
      </c>
      <c r="P16" s="56">
        <v>0</v>
      </c>
      <c r="Q16" s="84">
        <v>0</v>
      </c>
      <c r="R16" s="56">
        <v>0</v>
      </c>
      <c r="S16" s="56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90</v>
      </c>
      <c r="AF16" s="84">
        <f t="shared" si="3"/>
        <v>90</v>
      </c>
      <c r="AG16" s="56">
        <v>0</v>
      </c>
      <c r="AH16" s="56">
        <v>0</v>
      </c>
      <c r="AI16" s="56">
        <v>0</v>
      </c>
      <c r="AJ16" s="56">
        <v>0</v>
      </c>
      <c r="AK16" s="84">
        <f t="shared" si="4"/>
        <v>0</v>
      </c>
      <c r="AL16" s="56">
        <v>0</v>
      </c>
      <c r="AM16" s="56">
        <v>0</v>
      </c>
      <c r="AN16" s="56">
        <v>0</v>
      </c>
      <c r="AO16" s="84">
        <f t="shared" si="5"/>
        <v>0</v>
      </c>
      <c r="AP16" s="82"/>
    </row>
    <row r="17" spans="2:42" x14ac:dyDescent="0.35">
      <c r="B17" s="83" t="s">
        <v>75</v>
      </c>
      <c r="C17" s="56">
        <v>-291</v>
      </c>
      <c r="D17" s="56">
        <f>-586-C17</f>
        <v>-295</v>
      </c>
      <c r="E17" s="56">
        <f>-558-C17-D17</f>
        <v>28</v>
      </c>
      <c r="F17" s="56">
        <f t="shared" si="0"/>
        <v>-166</v>
      </c>
      <c r="G17" s="84">
        <v>-724</v>
      </c>
      <c r="H17" s="56">
        <v>-134</v>
      </c>
      <c r="I17" s="56">
        <f>-484-H17</f>
        <v>-350</v>
      </c>
      <c r="J17" s="56">
        <f>-931-H17-I17</f>
        <v>-447</v>
      </c>
      <c r="K17" s="56">
        <f t="shared" si="1"/>
        <v>-288</v>
      </c>
      <c r="L17" s="84">
        <v>-1219</v>
      </c>
      <c r="M17" s="56">
        <v>-389</v>
      </c>
      <c r="N17" s="56">
        <v>-115</v>
      </c>
      <c r="O17" s="56">
        <f>-562-M17-N17</f>
        <v>-58</v>
      </c>
      <c r="P17" s="56">
        <f t="shared" si="2"/>
        <v>-556</v>
      </c>
      <c r="Q17" s="84">
        <v>-1118</v>
      </c>
      <c r="R17" s="56">
        <v>-89</v>
      </c>
      <c r="S17" s="56">
        <v>-215</v>
      </c>
      <c r="T17" s="56">
        <v>-41</v>
      </c>
      <c r="U17" s="56">
        <v>-574</v>
      </c>
      <c r="V17" s="84">
        <v>-919</v>
      </c>
      <c r="W17" s="56">
        <v>133</v>
      </c>
      <c r="X17" s="56">
        <v>79</v>
      </c>
      <c r="Y17" s="56">
        <v>-238</v>
      </c>
      <c r="Z17" s="56">
        <v>-701</v>
      </c>
      <c r="AA17" s="84">
        <v>-727</v>
      </c>
      <c r="AB17" s="56">
        <v>-97</v>
      </c>
      <c r="AC17" s="56">
        <v>-369</v>
      </c>
      <c r="AD17" s="56">
        <v>150</v>
      </c>
      <c r="AE17" s="56">
        <v>-269</v>
      </c>
      <c r="AF17" s="84">
        <f t="shared" si="3"/>
        <v>-585</v>
      </c>
      <c r="AG17" s="56">
        <v>-216</v>
      </c>
      <c r="AH17" s="56">
        <v>-139</v>
      </c>
      <c r="AI17" s="56">
        <v>-271</v>
      </c>
      <c r="AJ17" s="56">
        <v>-845</v>
      </c>
      <c r="AK17" s="84">
        <f t="shared" si="4"/>
        <v>-1471</v>
      </c>
      <c r="AL17" s="56">
        <v>-380</v>
      </c>
      <c r="AM17" s="56">
        <v>-222</v>
      </c>
      <c r="AN17" s="56">
        <v>75</v>
      </c>
      <c r="AO17" s="84">
        <f t="shared" si="5"/>
        <v>-527</v>
      </c>
      <c r="AP17" s="82"/>
    </row>
    <row r="18" spans="2:42" x14ac:dyDescent="0.35">
      <c r="B18" s="83" t="s">
        <v>76</v>
      </c>
      <c r="C18" s="56">
        <v>0</v>
      </c>
      <c r="D18" s="56">
        <v>0</v>
      </c>
      <c r="E18" s="56">
        <v>0</v>
      </c>
      <c r="F18" s="56">
        <v>0</v>
      </c>
      <c r="G18" s="84">
        <v>0</v>
      </c>
      <c r="H18" s="56">
        <v>0</v>
      </c>
      <c r="I18" s="56">
        <v>0</v>
      </c>
      <c r="J18" s="56">
        <v>0</v>
      </c>
      <c r="K18" s="56">
        <v>0</v>
      </c>
      <c r="L18" s="84">
        <v>0</v>
      </c>
      <c r="M18" s="56">
        <v>0</v>
      </c>
      <c r="N18" s="56">
        <v>0</v>
      </c>
      <c r="O18" s="56">
        <v>0</v>
      </c>
      <c r="P18" s="56">
        <f t="shared" si="2"/>
        <v>-820</v>
      </c>
      <c r="Q18" s="84">
        <v>-820</v>
      </c>
      <c r="R18" s="56">
        <v>0</v>
      </c>
      <c r="S18" s="56">
        <v>0</v>
      </c>
      <c r="T18" s="56">
        <v>0</v>
      </c>
      <c r="U18" s="56">
        <v>0</v>
      </c>
      <c r="V18" s="84">
        <v>0</v>
      </c>
      <c r="W18" s="56">
        <v>0</v>
      </c>
      <c r="X18" s="56">
        <v>0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/>
      <c r="AF18" s="84">
        <f t="shared" si="3"/>
        <v>0</v>
      </c>
      <c r="AG18" s="56">
        <v>0</v>
      </c>
      <c r="AH18" s="56">
        <v>0</v>
      </c>
      <c r="AI18" s="56">
        <v>0</v>
      </c>
      <c r="AJ18" s="56">
        <v>0</v>
      </c>
      <c r="AK18" s="84">
        <f t="shared" si="4"/>
        <v>0</v>
      </c>
      <c r="AL18" s="56">
        <v>0</v>
      </c>
      <c r="AM18" s="56">
        <v>0</v>
      </c>
      <c r="AN18" s="56">
        <v>0</v>
      </c>
      <c r="AO18" s="84">
        <f t="shared" si="5"/>
        <v>0</v>
      </c>
      <c r="AP18" s="82"/>
    </row>
    <row r="19" spans="2:42" x14ac:dyDescent="0.35">
      <c r="B19" s="85" t="s">
        <v>173</v>
      </c>
      <c r="C19" s="56">
        <v>0</v>
      </c>
      <c r="D19" s="56">
        <v>-44</v>
      </c>
      <c r="E19" s="56">
        <f>-44-D19-C19</f>
        <v>0</v>
      </c>
      <c r="F19" s="56">
        <f t="shared" si="0"/>
        <v>0</v>
      </c>
      <c r="G19" s="84">
        <v>-44</v>
      </c>
      <c r="H19" s="56">
        <v>0</v>
      </c>
      <c r="I19" s="56">
        <f>-85-H19</f>
        <v>-85</v>
      </c>
      <c r="J19" s="56">
        <f>-131-H19-I19</f>
        <v>-46</v>
      </c>
      <c r="K19" s="56">
        <f t="shared" si="1"/>
        <v>462</v>
      </c>
      <c r="L19" s="84">
        <v>331</v>
      </c>
      <c r="M19" s="56">
        <v>0</v>
      </c>
      <c r="N19" s="56">
        <v>0</v>
      </c>
      <c r="O19" s="56">
        <v>0</v>
      </c>
      <c r="P19" s="56">
        <f t="shared" si="2"/>
        <v>0</v>
      </c>
      <c r="Q19" s="84">
        <v>0</v>
      </c>
      <c r="R19" s="56">
        <v>0</v>
      </c>
      <c r="S19" s="56">
        <v>-108</v>
      </c>
      <c r="T19" s="56">
        <v>0</v>
      </c>
      <c r="U19" s="56">
        <v>0</v>
      </c>
      <c r="V19" s="84">
        <v>-108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/>
      <c r="AF19" s="84">
        <f t="shared" si="3"/>
        <v>0</v>
      </c>
      <c r="AG19" s="56">
        <v>0</v>
      </c>
      <c r="AH19" s="56">
        <v>0</v>
      </c>
      <c r="AI19" s="56">
        <v>0</v>
      </c>
      <c r="AJ19" s="56">
        <v>0</v>
      </c>
      <c r="AK19" s="84">
        <f t="shared" si="4"/>
        <v>0</v>
      </c>
      <c r="AL19" s="56">
        <v>0</v>
      </c>
      <c r="AM19" s="56">
        <v>0</v>
      </c>
      <c r="AN19" s="56">
        <v>0</v>
      </c>
      <c r="AO19" s="84">
        <f t="shared" si="5"/>
        <v>0</v>
      </c>
      <c r="AP19" s="82"/>
    </row>
    <row r="20" spans="2:42" x14ac:dyDescent="0.35">
      <c r="B20" s="83" t="s">
        <v>77</v>
      </c>
      <c r="C20" s="56">
        <v>-58</v>
      </c>
      <c r="D20" s="56">
        <f>130-C20</f>
        <v>188</v>
      </c>
      <c r="E20" s="56">
        <f>578-C20-D20</f>
        <v>448</v>
      </c>
      <c r="F20" s="56">
        <f t="shared" si="0"/>
        <v>474</v>
      </c>
      <c r="G20" s="84">
        <v>1052</v>
      </c>
      <c r="H20" s="56">
        <v>349</v>
      </c>
      <c r="I20" s="56">
        <f>508-H20</f>
        <v>159</v>
      </c>
      <c r="J20" s="56">
        <f>1095-H20-I20</f>
        <v>587</v>
      </c>
      <c r="K20" s="56">
        <f t="shared" si="1"/>
        <v>911</v>
      </c>
      <c r="L20" s="84">
        <v>2006</v>
      </c>
      <c r="M20" s="56">
        <v>89</v>
      </c>
      <c r="N20" s="56">
        <v>319</v>
      </c>
      <c r="O20" s="56">
        <f>587-M20-N20</f>
        <v>179</v>
      </c>
      <c r="P20" s="56">
        <f t="shared" si="2"/>
        <v>-55</v>
      </c>
      <c r="Q20" s="84">
        <v>532</v>
      </c>
      <c r="R20" s="56">
        <v>142</v>
      </c>
      <c r="S20" s="56">
        <v>282</v>
      </c>
      <c r="T20" s="56">
        <v>319</v>
      </c>
      <c r="U20" s="56">
        <v>-233</v>
      </c>
      <c r="V20" s="84">
        <v>510</v>
      </c>
      <c r="W20" s="56">
        <v>1389</v>
      </c>
      <c r="X20" s="56">
        <v>334.32687491477645</v>
      </c>
      <c r="Y20" s="56">
        <v>294</v>
      </c>
      <c r="Z20" s="56">
        <v>48.673125085223546</v>
      </c>
      <c r="AA20" s="84">
        <v>2066</v>
      </c>
      <c r="AB20" s="56">
        <v>536</v>
      </c>
      <c r="AC20" s="56">
        <v>-1213</v>
      </c>
      <c r="AD20" s="56">
        <v>1240</v>
      </c>
      <c r="AE20" s="56">
        <v>1289</v>
      </c>
      <c r="AF20" s="84">
        <f>SUM(AB20:AE20)</f>
        <v>1852</v>
      </c>
      <c r="AG20" s="56">
        <v>-59</v>
      </c>
      <c r="AH20" s="56">
        <v>668</v>
      </c>
      <c r="AI20" s="56">
        <v>475</v>
      </c>
      <c r="AJ20" s="56">
        <v>389</v>
      </c>
      <c r="AK20" s="84">
        <f t="shared" si="4"/>
        <v>1473</v>
      </c>
      <c r="AL20" s="56">
        <v>70</v>
      </c>
      <c r="AM20" s="56">
        <v>103</v>
      </c>
      <c r="AN20" s="56">
        <v>776</v>
      </c>
      <c r="AO20" s="84">
        <f t="shared" si="5"/>
        <v>949</v>
      </c>
      <c r="AP20" s="82"/>
    </row>
    <row r="21" spans="2:42" x14ac:dyDescent="0.35">
      <c r="B21" s="85" t="s">
        <v>185</v>
      </c>
      <c r="C21" s="56">
        <v>0</v>
      </c>
      <c r="D21" s="56">
        <v>0</v>
      </c>
      <c r="E21" s="56">
        <v>0</v>
      </c>
      <c r="F21" s="56">
        <v>0</v>
      </c>
      <c r="G21" s="84"/>
      <c r="H21" s="56">
        <v>0</v>
      </c>
      <c r="I21" s="56">
        <v>0</v>
      </c>
      <c r="J21" s="56">
        <f>0-I21-H21</f>
        <v>0</v>
      </c>
      <c r="K21" s="56">
        <f t="shared" si="1"/>
        <v>0</v>
      </c>
      <c r="L21" s="84">
        <v>0</v>
      </c>
      <c r="M21" s="56">
        <v>0</v>
      </c>
      <c r="N21" s="56">
        <v>0</v>
      </c>
      <c r="O21" s="56">
        <v>0</v>
      </c>
      <c r="P21" s="56">
        <f t="shared" si="2"/>
        <v>0</v>
      </c>
      <c r="Q21" s="84">
        <v>0</v>
      </c>
      <c r="R21" s="56">
        <v>0</v>
      </c>
      <c r="S21" s="56">
        <v>0</v>
      </c>
      <c r="T21" s="56">
        <v>0</v>
      </c>
      <c r="U21" s="56">
        <v>0</v>
      </c>
      <c r="V21" s="84">
        <v>0</v>
      </c>
      <c r="W21" s="56">
        <v>0</v>
      </c>
      <c r="X21" s="56">
        <v>0</v>
      </c>
      <c r="Y21" s="56">
        <v>0</v>
      </c>
      <c r="Z21" s="56">
        <v>0</v>
      </c>
      <c r="AA21" s="84">
        <v>0</v>
      </c>
      <c r="AB21" s="56">
        <v>0</v>
      </c>
      <c r="AC21" s="56">
        <v>0</v>
      </c>
      <c r="AD21" s="56">
        <v>0</v>
      </c>
      <c r="AE21" s="56"/>
      <c r="AF21" s="84">
        <f t="shared" si="3"/>
        <v>0</v>
      </c>
      <c r="AG21" s="56">
        <v>0</v>
      </c>
      <c r="AH21" s="56">
        <v>0</v>
      </c>
      <c r="AI21" s="56">
        <v>0</v>
      </c>
      <c r="AJ21" s="56">
        <v>0</v>
      </c>
      <c r="AK21" s="84">
        <f t="shared" si="4"/>
        <v>0</v>
      </c>
      <c r="AL21" s="56">
        <v>0</v>
      </c>
      <c r="AM21" s="56">
        <v>0</v>
      </c>
      <c r="AN21" s="56">
        <v>0</v>
      </c>
      <c r="AO21" s="84">
        <f t="shared" si="5"/>
        <v>0</v>
      </c>
      <c r="AP21" s="82"/>
    </row>
    <row r="22" spans="2:42" x14ac:dyDescent="0.35">
      <c r="B22" s="83" t="s">
        <v>189</v>
      </c>
      <c r="C22" s="56">
        <v>-10</v>
      </c>
      <c r="D22" s="56">
        <f>57-C22</f>
        <v>67</v>
      </c>
      <c r="E22" s="56">
        <f>51-C22-D22</f>
        <v>-6</v>
      </c>
      <c r="F22" s="56">
        <f t="shared" si="0"/>
        <v>2101</v>
      </c>
      <c r="G22" s="84">
        <f>988+1164</f>
        <v>2152</v>
      </c>
      <c r="H22" s="56">
        <v>-26</v>
      </c>
      <c r="I22" s="56">
        <f>-37-H22</f>
        <v>-11</v>
      </c>
      <c r="J22" s="56">
        <f>-51-I22-H22</f>
        <v>-14</v>
      </c>
      <c r="K22" s="56">
        <f t="shared" si="1"/>
        <v>28</v>
      </c>
      <c r="L22" s="84">
        <v>-23</v>
      </c>
      <c r="M22" s="56">
        <v>-7</v>
      </c>
      <c r="N22" s="56">
        <f>-11-M22</f>
        <v>-4</v>
      </c>
      <c r="O22" s="56">
        <f>-16-M22-N22</f>
        <v>-5</v>
      </c>
      <c r="P22" s="56">
        <f t="shared" si="2"/>
        <v>-37</v>
      </c>
      <c r="Q22" s="84">
        <v>-53</v>
      </c>
      <c r="R22" s="56">
        <v>-9</v>
      </c>
      <c r="S22" s="56">
        <v>-6</v>
      </c>
      <c r="T22" s="56">
        <v>561</v>
      </c>
      <c r="U22" s="56">
        <v>168</v>
      </c>
      <c r="V22" s="84">
        <v>714</v>
      </c>
      <c r="W22" s="56">
        <v>2155</v>
      </c>
      <c r="X22" s="56">
        <v>273</v>
      </c>
      <c r="Y22" s="56">
        <v>364</v>
      </c>
      <c r="Z22" s="56">
        <v>-15</v>
      </c>
      <c r="AA22" s="84">
        <v>2777</v>
      </c>
      <c r="AB22" s="56">
        <v>123</v>
      </c>
      <c r="AC22" s="56">
        <v>13</v>
      </c>
      <c r="AD22" s="56">
        <v>32</v>
      </c>
      <c r="AE22" s="56">
        <v>100</v>
      </c>
      <c r="AF22" s="84">
        <f t="shared" si="3"/>
        <v>268</v>
      </c>
      <c r="AG22" s="56">
        <v>-874</v>
      </c>
      <c r="AH22" s="56">
        <v>-155</v>
      </c>
      <c r="AI22" s="56">
        <v>-31</v>
      </c>
      <c r="AJ22" s="56">
        <v>182</v>
      </c>
      <c r="AK22" s="84">
        <f t="shared" si="4"/>
        <v>-878</v>
      </c>
      <c r="AL22" s="56">
        <v>-157</v>
      </c>
      <c r="AM22" s="56">
        <v>327</v>
      </c>
      <c r="AN22" s="56">
        <v>23</v>
      </c>
      <c r="AO22" s="84">
        <f t="shared" si="5"/>
        <v>193</v>
      </c>
      <c r="AP22" s="82"/>
    </row>
    <row r="23" spans="2:42" x14ac:dyDescent="0.35">
      <c r="B23" s="83" t="s">
        <v>78</v>
      </c>
      <c r="C23" s="56">
        <v>-38</v>
      </c>
      <c r="D23" s="56">
        <f>-43-C23</f>
        <v>-5</v>
      </c>
      <c r="E23" s="56">
        <f>-40-C23-D23</f>
        <v>3</v>
      </c>
      <c r="F23" s="56">
        <f t="shared" si="0"/>
        <v>-109</v>
      </c>
      <c r="G23" s="84">
        <v>-149</v>
      </c>
      <c r="H23" s="56">
        <v>24</v>
      </c>
      <c r="I23" s="56">
        <f>14-H23</f>
        <v>-10</v>
      </c>
      <c r="J23" s="56">
        <f>40-I23-H23</f>
        <v>26</v>
      </c>
      <c r="K23" s="56">
        <f t="shared" si="1"/>
        <v>-44</v>
      </c>
      <c r="L23" s="84">
        <v>-4</v>
      </c>
      <c r="M23" s="56">
        <v>-7</v>
      </c>
      <c r="N23" s="56">
        <v>0</v>
      </c>
      <c r="O23" s="56">
        <f>-51-M23-N23</f>
        <v>-44</v>
      </c>
      <c r="P23" s="56">
        <f t="shared" si="2"/>
        <v>9</v>
      </c>
      <c r="Q23" s="84">
        <v>-42</v>
      </c>
      <c r="R23" s="56">
        <v>2</v>
      </c>
      <c r="S23" s="56">
        <v>-33</v>
      </c>
      <c r="T23" s="56">
        <v>-14</v>
      </c>
      <c r="U23" s="56">
        <v>37</v>
      </c>
      <c r="V23" s="84">
        <v>-8</v>
      </c>
      <c r="W23" s="56">
        <v>0</v>
      </c>
      <c r="X23" s="56">
        <v>6</v>
      </c>
      <c r="Y23" s="56">
        <v>30</v>
      </c>
      <c r="Z23" s="56">
        <v>38</v>
      </c>
      <c r="AA23" s="84">
        <v>74</v>
      </c>
      <c r="AB23" s="56">
        <v>-99</v>
      </c>
      <c r="AC23" s="56">
        <v>-43</v>
      </c>
      <c r="AD23" s="56">
        <v>-245</v>
      </c>
      <c r="AE23" s="56">
        <v>491</v>
      </c>
      <c r="AF23" s="84">
        <f t="shared" si="3"/>
        <v>104</v>
      </c>
      <c r="AG23" s="56">
        <v>28</v>
      </c>
      <c r="AH23" s="56">
        <v>-45</v>
      </c>
      <c r="AI23" s="56">
        <v>-19</v>
      </c>
      <c r="AJ23" s="56">
        <v>-19</v>
      </c>
      <c r="AK23" s="84">
        <f t="shared" si="4"/>
        <v>-55</v>
      </c>
      <c r="AL23" s="56">
        <v>10</v>
      </c>
      <c r="AM23" s="56">
        <v>5</v>
      </c>
      <c r="AN23" s="56">
        <v>-17</v>
      </c>
      <c r="AO23" s="84">
        <f t="shared" si="5"/>
        <v>-2</v>
      </c>
      <c r="AP23" s="82"/>
    </row>
    <row r="24" spans="2:42" x14ac:dyDescent="0.35">
      <c r="B24" s="83" t="s">
        <v>174</v>
      </c>
      <c r="C24" s="56">
        <v>-302</v>
      </c>
      <c r="D24" s="56">
        <f>-312-C24</f>
        <v>-10</v>
      </c>
      <c r="E24" s="56">
        <f>-312-C24-D24</f>
        <v>0</v>
      </c>
      <c r="F24" s="56">
        <f t="shared" si="0"/>
        <v>0</v>
      </c>
      <c r="G24" s="84">
        <v>-312</v>
      </c>
      <c r="H24" s="56">
        <v>0</v>
      </c>
      <c r="I24" s="56">
        <f>-16-H24</f>
        <v>-16</v>
      </c>
      <c r="J24" s="56">
        <f>-16-I24-H24</f>
        <v>0</v>
      </c>
      <c r="K24" s="56">
        <f t="shared" si="1"/>
        <v>-609</v>
      </c>
      <c r="L24" s="84">
        <v>-625</v>
      </c>
      <c r="M24" s="56">
        <v>0</v>
      </c>
      <c r="N24" s="56">
        <v>-7</v>
      </c>
      <c r="O24" s="56">
        <f>-8-M24-N24</f>
        <v>-1</v>
      </c>
      <c r="P24" s="56">
        <f t="shared" si="2"/>
        <v>-118</v>
      </c>
      <c r="Q24" s="84">
        <v>-126</v>
      </c>
      <c r="R24" s="56">
        <v>0</v>
      </c>
      <c r="S24" s="56">
        <v>50</v>
      </c>
      <c r="T24" s="56">
        <v>0</v>
      </c>
      <c r="U24" s="56">
        <v>2</v>
      </c>
      <c r="V24" s="84">
        <v>52</v>
      </c>
      <c r="W24" s="56">
        <v>0</v>
      </c>
      <c r="X24" s="56">
        <v>0</v>
      </c>
      <c r="Y24" s="56">
        <v>0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/>
      <c r="AF24" s="84">
        <f t="shared" si="3"/>
        <v>0</v>
      </c>
      <c r="AG24" s="56">
        <v>757</v>
      </c>
      <c r="AH24" s="56">
        <v>0</v>
      </c>
      <c r="AI24" s="56">
        <v>0</v>
      </c>
      <c r="AJ24" s="56">
        <v>-1</v>
      </c>
      <c r="AK24" s="84">
        <f t="shared" si="4"/>
        <v>756</v>
      </c>
      <c r="AL24" s="56">
        <v>0</v>
      </c>
      <c r="AM24" s="56">
        <v>0</v>
      </c>
      <c r="AN24" s="56">
        <v>-50</v>
      </c>
      <c r="AO24" s="84">
        <f t="shared" si="5"/>
        <v>-50</v>
      </c>
      <c r="AP24" s="82"/>
    </row>
    <row r="25" spans="2:42" x14ac:dyDescent="0.35">
      <c r="B25" s="85" t="s">
        <v>129</v>
      </c>
      <c r="C25" s="56">
        <v>0</v>
      </c>
      <c r="D25" s="56">
        <v>0</v>
      </c>
      <c r="E25" s="56">
        <v>0</v>
      </c>
      <c r="F25" s="56">
        <v>0</v>
      </c>
      <c r="G25" s="84">
        <v>0</v>
      </c>
      <c r="H25" s="56">
        <v>0</v>
      </c>
      <c r="I25" s="56">
        <v>0</v>
      </c>
      <c r="J25" s="56">
        <f>0-I25-H25</f>
        <v>0</v>
      </c>
      <c r="K25" s="56">
        <f t="shared" si="1"/>
        <v>0</v>
      </c>
      <c r="L25" s="84">
        <v>0</v>
      </c>
      <c r="M25" s="56">
        <v>0</v>
      </c>
      <c r="N25" s="56">
        <v>0</v>
      </c>
      <c r="O25" s="56">
        <f>0-M25-N25</f>
        <v>0</v>
      </c>
      <c r="P25" s="56">
        <f t="shared" si="2"/>
        <v>0</v>
      </c>
      <c r="Q25" s="84">
        <v>0</v>
      </c>
      <c r="R25" s="56">
        <v>0</v>
      </c>
      <c r="S25" s="56">
        <v>0</v>
      </c>
      <c r="T25" s="56">
        <v>0</v>
      </c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/>
      <c r="AF25" s="84">
        <f t="shared" si="3"/>
        <v>0</v>
      </c>
      <c r="AG25" s="56">
        <v>0</v>
      </c>
      <c r="AH25" s="56">
        <v>0</v>
      </c>
      <c r="AI25" s="56">
        <v>0</v>
      </c>
      <c r="AJ25" s="56">
        <v>0</v>
      </c>
      <c r="AK25" s="84">
        <f t="shared" si="4"/>
        <v>0</v>
      </c>
      <c r="AL25" s="56">
        <v>0</v>
      </c>
      <c r="AM25" s="56">
        <v>0</v>
      </c>
      <c r="AN25" s="56">
        <v>0</v>
      </c>
      <c r="AO25" s="84">
        <f t="shared" si="5"/>
        <v>0</v>
      </c>
      <c r="AP25" s="82"/>
    </row>
    <row r="26" spans="2:42" x14ac:dyDescent="0.35">
      <c r="B26" s="85" t="s">
        <v>80</v>
      </c>
      <c r="C26" s="56">
        <v>0</v>
      </c>
      <c r="D26" s="56">
        <v>38</v>
      </c>
      <c r="E26" s="56">
        <f>42-C26-D26</f>
        <v>4</v>
      </c>
      <c r="F26" s="56">
        <f t="shared" si="0"/>
        <v>-38</v>
      </c>
      <c r="G26" s="84">
        <v>4</v>
      </c>
      <c r="H26" s="56">
        <v>-2</v>
      </c>
      <c r="I26" s="56">
        <f>3-H26</f>
        <v>5</v>
      </c>
      <c r="J26" s="56">
        <f>5-I26-H26</f>
        <v>2</v>
      </c>
      <c r="K26" s="56">
        <f t="shared" si="1"/>
        <v>-5</v>
      </c>
      <c r="L26" s="84">
        <v>0</v>
      </c>
      <c r="M26" s="56">
        <v>36</v>
      </c>
      <c r="N26" s="56">
        <v>46</v>
      </c>
      <c r="O26" s="56">
        <v>-10</v>
      </c>
      <c r="P26" s="56">
        <f t="shared" si="2"/>
        <v>-57</v>
      </c>
      <c r="Q26" s="84">
        <v>15</v>
      </c>
      <c r="R26" s="56">
        <v>0</v>
      </c>
      <c r="S26" s="56">
        <v>17</v>
      </c>
      <c r="T26" s="56">
        <v>22</v>
      </c>
      <c r="U26" s="56">
        <v>-22</v>
      </c>
      <c r="V26" s="84">
        <v>17</v>
      </c>
      <c r="W26" s="56">
        <v>0</v>
      </c>
      <c r="X26" s="56">
        <v>0</v>
      </c>
      <c r="Y26" s="56">
        <v>0</v>
      </c>
      <c r="Z26" s="56">
        <v>-44</v>
      </c>
      <c r="AA26" s="84">
        <v>-44</v>
      </c>
      <c r="AB26" s="56">
        <v>0</v>
      </c>
      <c r="AC26" s="56">
        <v>0</v>
      </c>
      <c r="AD26" s="56">
        <v>0</v>
      </c>
      <c r="AE26" s="56"/>
      <c r="AF26" s="84">
        <f t="shared" si="3"/>
        <v>0</v>
      </c>
      <c r="AG26" s="56">
        <v>0</v>
      </c>
      <c r="AH26" s="56">
        <v>0</v>
      </c>
      <c r="AI26" s="56">
        <v>0</v>
      </c>
      <c r="AJ26" s="56">
        <v>0</v>
      </c>
      <c r="AK26" s="84">
        <f t="shared" si="4"/>
        <v>0</v>
      </c>
      <c r="AL26" s="56">
        <v>0</v>
      </c>
      <c r="AM26" s="56">
        <v>0</v>
      </c>
      <c r="AN26" s="56">
        <v>0</v>
      </c>
      <c r="AO26" s="84">
        <f t="shared" si="5"/>
        <v>0</v>
      </c>
      <c r="AP26" s="82"/>
    </row>
    <row r="27" spans="2:42" x14ac:dyDescent="0.35">
      <c r="B27" s="83" t="s">
        <v>85</v>
      </c>
      <c r="C27" s="56">
        <v>-24</v>
      </c>
      <c r="D27" s="56">
        <f>-57-C27</f>
        <v>-33</v>
      </c>
      <c r="E27" s="56">
        <f>-27-C27-D27</f>
        <v>30</v>
      </c>
      <c r="F27" s="56">
        <f t="shared" si="0"/>
        <v>1</v>
      </c>
      <c r="G27" s="84">
        <v>-26</v>
      </c>
      <c r="H27" s="56">
        <v>17</v>
      </c>
      <c r="I27" s="56">
        <f>38-H27</f>
        <v>21</v>
      </c>
      <c r="J27" s="56">
        <f>58-H27-I27</f>
        <v>20</v>
      </c>
      <c r="K27" s="56">
        <f t="shared" si="1"/>
        <v>-11</v>
      </c>
      <c r="L27" s="84">
        <v>47</v>
      </c>
      <c r="M27" s="56">
        <v>-17</v>
      </c>
      <c r="N27" s="56">
        <f>-39-M27</f>
        <v>-22</v>
      </c>
      <c r="O27" s="56">
        <f>-11-M27-N27</f>
        <v>28</v>
      </c>
      <c r="P27" s="56">
        <f t="shared" si="2"/>
        <v>-17</v>
      </c>
      <c r="Q27" s="84">
        <v>-28</v>
      </c>
      <c r="R27" s="56">
        <v>-9</v>
      </c>
      <c r="S27" s="56">
        <v>9</v>
      </c>
      <c r="T27" s="56">
        <v>0</v>
      </c>
      <c r="U27" s="56">
        <v>22</v>
      </c>
      <c r="V27" s="84">
        <v>22</v>
      </c>
      <c r="W27" s="56">
        <v>-135</v>
      </c>
      <c r="X27" s="56">
        <v>-59</v>
      </c>
      <c r="Y27" s="56">
        <v>81</v>
      </c>
      <c r="Z27" s="56">
        <v>208</v>
      </c>
      <c r="AA27" s="84">
        <v>95</v>
      </c>
      <c r="AB27" s="56">
        <v>-65</v>
      </c>
      <c r="AC27" s="56">
        <v>18</v>
      </c>
      <c r="AD27" s="56">
        <v>-13</v>
      </c>
      <c r="AE27" s="56">
        <v>7</v>
      </c>
      <c r="AF27" s="84">
        <f t="shared" si="3"/>
        <v>-53</v>
      </c>
      <c r="AG27" s="56">
        <v>8</v>
      </c>
      <c r="AH27" s="56">
        <v>-70</v>
      </c>
      <c r="AI27" s="56">
        <v>-26</v>
      </c>
      <c r="AJ27" s="56">
        <v>43</v>
      </c>
      <c r="AK27" s="84">
        <f t="shared" si="4"/>
        <v>-45</v>
      </c>
      <c r="AL27" s="56">
        <v>-1</v>
      </c>
      <c r="AM27" s="56">
        <v>9</v>
      </c>
      <c r="AN27" s="56">
        <v>-6</v>
      </c>
      <c r="AO27" s="84">
        <f t="shared" si="5"/>
        <v>2</v>
      </c>
      <c r="AP27" s="82"/>
    </row>
    <row r="28" spans="2:42" x14ac:dyDescent="0.35">
      <c r="B28" s="85" t="s">
        <v>125</v>
      </c>
      <c r="C28" s="56">
        <v>0</v>
      </c>
      <c r="D28" s="56">
        <v>0</v>
      </c>
      <c r="E28" s="56">
        <v>-172</v>
      </c>
      <c r="F28" s="56">
        <f t="shared" si="0"/>
        <v>-1</v>
      </c>
      <c r="G28" s="84">
        <v>-173</v>
      </c>
      <c r="H28" s="56">
        <v>0</v>
      </c>
      <c r="I28" s="56">
        <v>0</v>
      </c>
      <c r="J28" s="56">
        <v>0</v>
      </c>
      <c r="K28" s="56">
        <f t="shared" si="1"/>
        <v>0</v>
      </c>
      <c r="L28" s="84">
        <v>0</v>
      </c>
      <c r="M28" s="56">
        <v>0</v>
      </c>
      <c r="N28" s="56">
        <v>0</v>
      </c>
      <c r="O28" s="56">
        <v>0</v>
      </c>
      <c r="P28" s="56">
        <f t="shared" si="2"/>
        <v>0</v>
      </c>
      <c r="Q28" s="84">
        <v>0</v>
      </c>
      <c r="R28" s="56">
        <v>0</v>
      </c>
      <c r="S28" s="56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/>
      <c r="AF28" s="84">
        <f t="shared" si="3"/>
        <v>0</v>
      </c>
      <c r="AG28" s="56">
        <v>0</v>
      </c>
      <c r="AH28" s="56">
        <v>0</v>
      </c>
      <c r="AI28" s="56">
        <v>0</v>
      </c>
      <c r="AJ28" s="56">
        <v>0</v>
      </c>
      <c r="AK28" s="84">
        <f t="shared" si="4"/>
        <v>0</v>
      </c>
      <c r="AL28" s="56">
        <v>0</v>
      </c>
      <c r="AM28" s="56">
        <v>0</v>
      </c>
      <c r="AN28" s="56">
        <v>0</v>
      </c>
      <c r="AO28" s="84">
        <f t="shared" si="5"/>
        <v>0</v>
      </c>
      <c r="AP28" s="82"/>
    </row>
    <row r="29" spans="2:42" x14ac:dyDescent="0.35">
      <c r="B29" s="83" t="s">
        <v>84</v>
      </c>
      <c r="C29" s="56">
        <v>-30</v>
      </c>
      <c r="D29" s="56">
        <f>-18-C29</f>
        <v>12</v>
      </c>
      <c r="E29" s="56">
        <f>-38-C29-D29</f>
        <v>-20</v>
      </c>
      <c r="F29" s="56">
        <f t="shared" si="0"/>
        <v>422</v>
      </c>
      <c r="G29" s="84">
        <v>384</v>
      </c>
      <c r="H29" s="56">
        <v>109</v>
      </c>
      <c r="I29" s="56">
        <f>-162-H29</f>
        <v>-271</v>
      </c>
      <c r="J29" s="56">
        <f>-451-I29-H29</f>
        <v>-289</v>
      </c>
      <c r="K29" s="56">
        <f t="shared" si="1"/>
        <v>173</v>
      </c>
      <c r="L29" s="84">
        <v>-278</v>
      </c>
      <c r="M29" s="56">
        <v>106</v>
      </c>
      <c r="N29" s="56">
        <f>156-M29</f>
        <v>50</v>
      </c>
      <c r="O29" s="56">
        <f>37-M29-N29</f>
        <v>-119</v>
      </c>
      <c r="P29" s="56">
        <f t="shared" si="2"/>
        <v>83</v>
      </c>
      <c r="Q29" s="84">
        <v>120</v>
      </c>
      <c r="R29" s="56">
        <v>135</v>
      </c>
      <c r="S29" s="56">
        <v>-71</v>
      </c>
      <c r="T29" s="56">
        <v>22</v>
      </c>
      <c r="U29" s="56">
        <v>12</v>
      </c>
      <c r="V29" s="84">
        <v>98</v>
      </c>
      <c r="W29" s="56">
        <v>70</v>
      </c>
      <c r="X29" s="56">
        <v>-18</v>
      </c>
      <c r="Y29" s="56">
        <v>86</v>
      </c>
      <c r="Z29" s="56">
        <v>64</v>
      </c>
      <c r="AA29" s="84">
        <v>202</v>
      </c>
      <c r="AB29" s="56">
        <v>95</v>
      </c>
      <c r="AC29" s="56">
        <v>233</v>
      </c>
      <c r="AD29" s="56">
        <v>-4</v>
      </c>
      <c r="AE29" s="56">
        <v>278</v>
      </c>
      <c r="AF29" s="84">
        <f t="shared" si="3"/>
        <v>602</v>
      </c>
      <c r="AG29" s="56">
        <v>109</v>
      </c>
      <c r="AH29" s="56">
        <v>109</v>
      </c>
      <c r="AI29" s="56">
        <v>-8</v>
      </c>
      <c r="AJ29" s="56">
        <v>478</v>
      </c>
      <c r="AK29" s="84">
        <f t="shared" si="4"/>
        <v>688</v>
      </c>
      <c r="AL29" s="56">
        <v>-33</v>
      </c>
      <c r="AM29" s="56">
        <v>299</v>
      </c>
      <c r="AN29" s="56">
        <v>-405</v>
      </c>
      <c r="AO29" s="84">
        <f t="shared" si="5"/>
        <v>-139</v>
      </c>
      <c r="AP29" s="82"/>
    </row>
    <row r="30" spans="2:42" x14ac:dyDescent="0.35">
      <c r="B30" s="83" t="s">
        <v>83</v>
      </c>
      <c r="C30" s="56">
        <v>552</v>
      </c>
      <c r="D30" s="56">
        <f>968-C30</f>
        <v>416</v>
      </c>
      <c r="E30" s="56">
        <f>818-C30-D30</f>
        <v>-150</v>
      </c>
      <c r="F30" s="56">
        <f t="shared" si="0"/>
        <v>-27</v>
      </c>
      <c r="G30" s="84">
        <v>791</v>
      </c>
      <c r="H30" s="56">
        <v>137</v>
      </c>
      <c r="I30" s="56">
        <f>51-H30</f>
        <v>-86</v>
      </c>
      <c r="J30" s="56">
        <f>81-H30-I30</f>
        <v>30</v>
      </c>
      <c r="K30" s="56">
        <f t="shared" si="1"/>
        <v>-400</v>
      </c>
      <c r="L30" s="84">
        <v>-319</v>
      </c>
      <c r="M30" s="56">
        <v>-86</v>
      </c>
      <c r="N30" s="56">
        <f>-58-M30</f>
        <v>28</v>
      </c>
      <c r="O30" s="56">
        <f>-37-M30-N30</f>
        <v>21</v>
      </c>
      <c r="P30" s="56">
        <f t="shared" si="2"/>
        <v>-125</v>
      </c>
      <c r="Q30" s="84">
        <v>-162</v>
      </c>
      <c r="R30" s="56">
        <v>60</v>
      </c>
      <c r="S30" s="56">
        <v>128</v>
      </c>
      <c r="T30" s="56">
        <v>132</v>
      </c>
      <c r="U30" s="56">
        <v>-168</v>
      </c>
      <c r="V30" s="84">
        <v>152</v>
      </c>
      <c r="W30" s="56">
        <v>-161</v>
      </c>
      <c r="X30" s="56">
        <v>5</v>
      </c>
      <c r="Y30" s="56">
        <v>313</v>
      </c>
      <c r="Z30" s="56">
        <v>95</v>
      </c>
      <c r="AA30" s="84">
        <v>252</v>
      </c>
      <c r="AB30" s="56">
        <v>224</v>
      </c>
      <c r="AC30" s="56">
        <v>1001</v>
      </c>
      <c r="AD30" s="56">
        <v>492</v>
      </c>
      <c r="AE30" s="56">
        <v>-1651</v>
      </c>
      <c r="AF30" s="84">
        <f t="shared" si="3"/>
        <v>66</v>
      </c>
      <c r="AG30" s="56">
        <v>96</v>
      </c>
      <c r="AH30" s="56">
        <v>-32</v>
      </c>
      <c r="AI30" s="56">
        <v>-442</v>
      </c>
      <c r="AJ30" s="56">
        <v>217</v>
      </c>
      <c r="AK30" s="84">
        <f t="shared" si="4"/>
        <v>-161</v>
      </c>
      <c r="AL30" s="56">
        <v>-100</v>
      </c>
      <c r="AM30" s="56">
        <v>-63</v>
      </c>
      <c r="AN30" s="56">
        <v>3</v>
      </c>
      <c r="AO30" s="84">
        <f t="shared" si="5"/>
        <v>-160</v>
      </c>
      <c r="AP30" s="82"/>
    </row>
    <row r="31" spans="2:42" x14ac:dyDescent="0.35">
      <c r="B31" s="83" t="s">
        <v>82</v>
      </c>
      <c r="C31" s="56">
        <v>40</v>
      </c>
      <c r="D31" s="56">
        <f>34-C31</f>
        <v>-6</v>
      </c>
      <c r="E31" s="56">
        <f>166-D31-C31</f>
        <v>132</v>
      </c>
      <c r="F31" s="56">
        <f t="shared" si="0"/>
        <v>87</v>
      </c>
      <c r="G31" s="84">
        <v>253</v>
      </c>
      <c r="H31" s="56">
        <v>212</v>
      </c>
      <c r="I31" s="56">
        <f>314-H31</f>
        <v>102</v>
      </c>
      <c r="J31" s="56">
        <f>347-I31-H31</f>
        <v>33</v>
      </c>
      <c r="K31" s="56">
        <f t="shared" si="1"/>
        <v>175</v>
      </c>
      <c r="L31" s="84">
        <v>522</v>
      </c>
      <c r="M31" s="56">
        <v>81</v>
      </c>
      <c r="N31" s="56">
        <f>106-M31</f>
        <v>25</v>
      </c>
      <c r="O31" s="56">
        <f>100-M31-N31</f>
        <v>-6</v>
      </c>
      <c r="P31" s="56">
        <f t="shared" si="2"/>
        <v>32</v>
      </c>
      <c r="Q31" s="84">
        <v>132</v>
      </c>
      <c r="R31" s="56">
        <v>48</v>
      </c>
      <c r="S31" s="56">
        <v>32</v>
      </c>
      <c r="T31" s="56">
        <v>16</v>
      </c>
      <c r="U31" s="56">
        <v>99</v>
      </c>
      <c r="V31" s="84">
        <v>195</v>
      </c>
      <c r="W31" s="56">
        <v>-34</v>
      </c>
      <c r="X31" s="56">
        <v>37</v>
      </c>
      <c r="Y31" s="56">
        <v>-57</v>
      </c>
      <c r="Z31" s="56">
        <v>108</v>
      </c>
      <c r="AA31" s="84">
        <v>54</v>
      </c>
      <c r="AB31" s="56">
        <v>26</v>
      </c>
      <c r="AC31" s="56">
        <v>-225</v>
      </c>
      <c r="AD31" s="56">
        <v>-29</v>
      </c>
      <c r="AE31" s="56">
        <v>57</v>
      </c>
      <c r="AF31" s="84">
        <f t="shared" si="3"/>
        <v>-171</v>
      </c>
      <c r="AG31" s="56">
        <v>39</v>
      </c>
      <c r="AH31" s="56">
        <v>25</v>
      </c>
      <c r="AI31" s="56">
        <v>56</v>
      </c>
      <c r="AJ31" s="56">
        <v>36</v>
      </c>
      <c r="AK31" s="84">
        <f t="shared" si="4"/>
        <v>156</v>
      </c>
      <c r="AL31" s="56">
        <v>13</v>
      </c>
      <c r="AM31" s="56">
        <v>76</v>
      </c>
      <c r="AN31" s="56">
        <v>-114</v>
      </c>
      <c r="AO31" s="84">
        <f t="shared" si="5"/>
        <v>-25</v>
      </c>
      <c r="AP31" s="82"/>
    </row>
    <row r="32" spans="2:42" x14ac:dyDescent="0.35">
      <c r="B32" s="83" t="s">
        <v>121</v>
      </c>
      <c r="C32" s="56">
        <v>0</v>
      </c>
      <c r="D32" s="56">
        <v>0</v>
      </c>
      <c r="E32" s="56">
        <v>0</v>
      </c>
      <c r="F32" s="56">
        <v>0</v>
      </c>
      <c r="G32" s="84">
        <v>0</v>
      </c>
      <c r="H32" s="56">
        <v>0</v>
      </c>
      <c r="I32" s="56">
        <v>0</v>
      </c>
      <c r="J32" s="56">
        <v>0</v>
      </c>
      <c r="K32" s="56">
        <v>0</v>
      </c>
      <c r="L32" s="84">
        <v>0</v>
      </c>
      <c r="M32" s="56">
        <v>0</v>
      </c>
      <c r="N32" s="56">
        <f>-147-M32</f>
        <v>-147</v>
      </c>
      <c r="O32" s="56">
        <f>-147-M32-N32</f>
        <v>0</v>
      </c>
      <c r="P32" s="56">
        <f t="shared" si="2"/>
        <v>-153</v>
      </c>
      <c r="Q32" s="84">
        <v>-300</v>
      </c>
      <c r="R32" s="56">
        <v>0</v>
      </c>
      <c r="S32" s="56">
        <v>0</v>
      </c>
      <c r="T32" s="56">
        <v>0</v>
      </c>
      <c r="U32" s="56"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/>
      <c r="AF32" s="84">
        <f t="shared" si="3"/>
        <v>0</v>
      </c>
      <c r="AG32" s="56">
        <v>0</v>
      </c>
      <c r="AH32" s="56">
        <v>0</v>
      </c>
      <c r="AI32" s="56">
        <v>0</v>
      </c>
      <c r="AJ32" s="56">
        <v>0</v>
      </c>
      <c r="AK32" s="84">
        <f t="shared" si="4"/>
        <v>0</v>
      </c>
      <c r="AL32" s="56">
        <v>0</v>
      </c>
      <c r="AM32" s="56">
        <v>0</v>
      </c>
      <c r="AN32" s="56">
        <v>0</v>
      </c>
      <c r="AO32" s="84">
        <f t="shared" si="5"/>
        <v>0</v>
      </c>
      <c r="AP32" s="82"/>
    </row>
    <row r="33" spans="2:42" x14ac:dyDescent="0.35">
      <c r="B33" s="83" t="s">
        <v>79</v>
      </c>
      <c r="C33" s="56">
        <v>0</v>
      </c>
      <c r="D33" s="56">
        <v>0</v>
      </c>
      <c r="E33" s="56">
        <v>0</v>
      </c>
      <c r="F33" s="56">
        <v>0</v>
      </c>
      <c r="G33" s="84">
        <v>0</v>
      </c>
      <c r="H33" s="56">
        <v>0</v>
      </c>
      <c r="I33" s="56">
        <v>0</v>
      </c>
      <c r="J33" s="56">
        <v>0</v>
      </c>
      <c r="K33" s="56">
        <v>0</v>
      </c>
      <c r="L33" s="84">
        <v>0</v>
      </c>
      <c r="M33" s="56">
        <v>0</v>
      </c>
      <c r="N33" s="56">
        <f>-92-M33</f>
        <v>-92</v>
      </c>
      <c r="O33" s="56">
        <f>-86-M33-N33</f>
        <v>6</v>
      </c>
      <c r="P33" s="56">
        <f t="shared" si="2"/>
        <v>15</v>
      </c>
      <c r="Q33" s="84">
        <v>-71</v>
      </c>
      <c r="R33" s="56">
        <v>-32</v>
      </c>
      <c r="S33" s="56">
        <v>32</v>
      </c>
      <c r="T33" s="56">
        <v>-20</v>
      </c>
      <c r="U33" s="56">
        <v>109</v>
      </c>
      <c r="V33" s="84">
        <v>89</v>
      </c>
      <c r="W33" s="56">
        <v>203</v>
      </c>
      <c r="X33" s="56">
        <v>82</v>
      </c>
      <c r="Y33" s="56">
        <v>122</v>
      </c>
      <c r="Z33" s="56">
        <v>-4</v>
      </c>
      <c r="AA33" s="84">
        <v>403</v>
      </c>
      <c r="AB33" s="56">
        <v>-343</v>
      </c>
      <c r="AC33" s="56">
        <v>-215</v>
      </c>
      <c r="AD33" s="56">
        <v>-101</v>
      </c>
      <c r="AE33" s="56">
        <v>-3793</v>
      </c>
      <c r="AF33" s="84">
        <f t="shared" si="3"/>
        <v>-4452</v>
      </c>
      <c r="AG33" s="56">
        <v>0</v>
      </c>
      <c r="AH33" s="56">
        <v>0</v>
      </c>
      <c r="AI33" s="56">
        <v>0</v>
      </c>
      <c r="AJ33" s="56">
        <v>0</v>
      </c>
      <c r="AK33" s="84">
        <f t="shared" si="4"/>
        <v>0</v>
      </c>
      <c r="AL33" s="56">
        <v>0</v>
      </c>
      <c r="AM33" s="56">
        <v>0</v>
      </c>
      <c r="AN33" s="56">
        <v>0</v>
      </c>
      <c r="AO33" s="84">
        <f t="shared" si="5"/>
        <v>0</v>
      </c>
      <c r="AP33" s="82"/>
    </row>
    <row r="34" spans="2:42" x14ac:dyDescent="0.35">
      <c r="B34" s="83" t="s">
        <v>80</v>
      </c>
      <c r="C34" s="56">
        <v>0</v>
      </c>
      <c r="D34" s="56">
        <v>0</v>
      </c>
      <c r="E34" s="56">
        <v>0</v>
      </c>
      <c r="F34" s="56">
        <v>0</v>
      </c>
      <c r="G34" s="84">
        <v>0</v>
      </c>
      <c r="H34" s="56">
        <v>0</v>
      </c>
      <c r="I34" s="56">
        <v>0</v>
      </c>
      <c r="J34" s="56">
        <v>0</v>
      </c>
      <c r="K34" s="56">
        <v>0</v>
      </c>
      <c r="L34" s="84">
        <v>0</v>
      </c>
      <c r="M34" s="56">
        <v>0</v>
      </c>
      <c r="N34" s="56">
        <v>0</v>
      </c>
      <c r="O34" s="56">
        <v>0</v>
      </c>
      <c r="P34" s="56">
        <f t="shared" si="2"/>
        <v>-69</v>
      </c>
      <c r="Q34" s="84">
        <v>-69</v>
      </c>
      <c r="R34" s="56">
        <v>0</v>
      </c>
      <c r="S34" s="56">
        <v>0</v>
      </c>
      <c r="T34" s="56">
        <v>0</v>
      </c>
      <c r="U34" s="56">
        <v>0</v>
      </c>
      <c r="V34" s="84">
        <v>0</v>
      </c>
      <c r="W34" s="56">
        <v>0</v>
      </c>
      <c r="X34" s="56">
        <v>0</v>
      </c>
      <c r="Y34" s="56">
        <v>0</v>
      </c>
      <c r="Z34" s="56">
        <v>17</v>
      </c>
      <c r="AA34" s="84">
        <v>17</v>
      </c>
      <c r="AB34" s="56">
        <v>21</v>
      </c>
      <c r="AC34" s="56">
        <v>3</v>
      </c>
      <c r="AD34" s="56">
        <v>6</v>
      </c>
      <c r="AE34" s="56">
        <v>352</v>
      </c>
      <c r="AF34" s="84">
        <f t="shared" si="3"/>
        <v>382</v>
      </c>
      <c r="AG34" s="56">
        <v>1</v>
      </c>
      <c r="AH34" s="56">
        <v>0</v>
      </c>
      <c r="AI34" s="56">
        <v>2</v>
      </c>
      <c r="AJ34" s="56">
        <v>0</v>
      </c>
      <c r="AK34" s="84">
        <f t="shared" si="4"/>
        <v>3</v>
      </c>
      <c r="AL34" s="56">
        <v>1</v>
      </c>
      <c r="AM34" s="56">
        <v>1</v>
      </c>
      <c r="AN34" s="56">
        <v>112</v>
      </c>
      <c r="AO34" s="84">
        <f t="shared" si="5"/>
        <v>114</v>
      </c>
      <c r="AP34" s="82"/>
    </row>
    <row r="35" spans="2:42" x14ac:dyDescent="0.35">
      <c r="B35" s="83" t="s">
        <v>172</v>
      </c>
      <c r="C35" s="56">
        <v>0</v>
      </c>
      <c r="D35" s="56">
        <v>0</v>
      </c>
      <c r="E35" s="56">
        <v>0</v>
      </c>
      <c r="F35" s="56">
        <v>0</v>
      </c>
      <c r="G35" s="84">
        <v>0</v>
      </c>
      <c r="H35" s="56">
        <v>0</v>
      </c>
      <c r="I35" s="56">
        <v>0</v>
      </c>
      <c r="J35" s="56">
        <v>0</v>
      </c>
      <c r="K35" s="56">
        <v>0</v>
      </c>
      <c r="L35" s="84">
        <v>0</v>
      </c>
      <c r="M35" s="56">
        <v>0</v>
      </c>
      <c r="N35" s="56">
        <v>0</v>
      </c>
      <c r="O35" s="56">
        <v>0</v>
      </c>
      <c r="P35" s="56">
        <v>0</v>
      </c>
      <c r="Q35" s="84">
        <v>0</v>
      </c>
      <c r="R35" s="56">
        <v>-6772</v>
      </c>
      <c r="S35" s="56">
        <v>0</v>
      </c>
      <c r="T35" s="56">
        <v>0</v>
      </c>
      <c r="U35" s="56">
        <v>0</v>
      </c>
      <c r="V35" s="84">
        <v>-6772</v>
      </c>
      <c r="W35" s="56">
        <v>0</v>
      </c>
      <c r="X35" s="56">
        <v>0</v>
      </c>
      <c r="Y35" s="56">
        <v>0</v>
      </c>
      <c r="Z35" s="56">
        <v>-427</v>
      </c>
      <c r="AA35" s="84">
        <v>-427</v>
      </c>
      <c r="AB35" s="56">
        <v>-629</v>
      </c>
      <c r="AC35" s="56">
        <v>0</v>
      </c>
      <c r="AD35" s="56">
        <v>0</v>
      </c>
      <c r="AE35" s="56"/>
      <c r="AF35" s="84">
        <f t="shared" si="3"/>
        <v>-629</v>
      </c>
      <c r="AG35" s="56">
        <v>0</v>
      </c>
      <c r="AH35" s="56">
        <v>0</v>
      </c>
      <c r="AI35" s="56">
        <v>0</v>
      </c>
      <c r="AJ35" s="56">
        <v>0</v>
      </c>
      <c r="AK35" s="84">
        <f t="shared" si="4"/>
        <v>0</v>
      </c>
      <c r="AL35" s="56">
        <v>0</v>
      </c>
      <c r="AM35" s="56">
        <v>0</v>
      </c>
      <c r="AN35" s="56">
        <v>0</v>
      </c>
      <c r="AO35" s="84">
        <f t="shared" si="5"/>
        <v>0</v>
      </c>
      <c r="AP35" s="82"/>
    </row>
    <row r="36" spans="2:42" x14ac:dyDescent="0.35">
      <c r="B36" s="83" t="s">
        <v>183</v>
      </c>
      <c r="C36" s="56">
        <v>0</v>
      </c>
      <c r="D36" s="56">
        <v>0</v>
      </c>
      <c r="E36" s="56">
        <v>0</v>
      </c>
      <c r="F36" s="56">
        <v>0</v>
      </c>
      <c r="G36" s="84">
        <v>0</v>
      </c>
      <c r="H36" s="56">
        <v>0</v>
      </c>
      <c r="I36" s="56">
        <v>0</v>
      </c>
      <c r="J36" s="56">
        <v>0</v>
      </c>
      <c r="K36" s="56">
        <v>0</v>
      </c>
      <c r="L36" s="84">
        <v>0</v>
      </c>
      <c r="M36" s="56">
        <v>0</v>
      </c>
      <c r="N36" s="56">
        <v>0</v>
      </c>
      <c r="O36" s="56">
        <v>0</v>
      </c>
      <c r="P36" s="56">
        <f t="shared" ref="P36" si="6">Q36-SUM(M36:O36)</f>
        <v>-498</v>
      </c>
      <c r="Q36" s="84">
        <v>-498</v>
      </c>
      <c r="R36" s="56">
        <v>-585</v>
      </c>
      <c r="S36" s="56">
        <v>-117</v>
      </c>
      <c r="T36" s="56">
        <v>-81</v>
      </c>
      <c r="U36" s="56">
        <v>36</v>
      </c>
      <c r="V36" s="84">
        <v>-747</v>
      </c>
      <c r="W36" s="56">
        <v>0</v>
      </c>
      <c r="X36" s="56">
        <v>-156</v>
      </c>
      <c r="Y36" s="56">
        <v>0</v>
      </c>
      <c r="Z36" s="56">
        <v>-12</v>
      </c>
      <c r="AA36" s="84">
        <v>-168</v>
      </c>
      <c r="AB36" s="56">
        <v>0</v>
      </c>
      <c r="AC36" s="56">
        <v>0</v>
      </c>
      <c r="AD36" s="56">
        <v>0</v>
      </c>
      <c r="AE36" s="56"/>
      <c r="AF36" s="84">
        <f t="shared" si="3"/>
        <v>0</v>
      </c>
      <c r="AG36" s="56">
        <v>0</v>
      </c>
      <c r="AH36" s="56">
        <v>0</v>
      </c>
      <c r="AI36" s="56">
        <v>0</v>
      </c>
      <c r="AJ36" s="56">
        <v>0</v>
      </c>
      <c r="AK36" s="84">
        <f t="shared" si="4"/>
        <v>0</v>
      </c>
      <c r="AL36" s="56">
        <v>0</v>
      </c>
      <c r="AM36" s="56">
        <v>0</v>
      </c>
      <c r="AN36" s="56">
        <v>0</v>
      </c>
      <c r="AO36" s="84">
        <f t="shared" si="5"/>
        <v>0</v>
      </c>
      <c r="AP36" s="82"/>
    </row>
    <row r="37" spans="2:42" x14ac:dyDescent="0.35">
      <c r="B37" s="83" t="s">
        <v>81</v>
      </c>
      <c r="C37" s="56">
        <v>-3</v>
      </c>
      <c r="D37" s="56">
        <f>-5-C37</f>
        <v>-2</v>
      </c>
      <c r="E37" s="56">
        <f>-3-D37-C37</f>
        <v>2</v>
      </c>
      <c r="F37" s="56">
        <f t="shared" si="0"/>
        <v>1</v>
      </c>
      <c r="G37" s="84">
        <v>-2</v>
      </c>
      <c r="H37" s="56">
        <v>4</v>
      </c>
      <c r="I37" s="56">
        <f>3-H37</f>
        <v>-1</v>
      </c>
      <c r="J37" s="56">
        <f>8-I37-H37</f>
        <v>5</v>
      </c>
      <c r="K37" s="56">
        <f t="shared" si="1"/>
        <v>0</v>
      </c>
      <c r="L37" s="84">
        <v>8</v>
      </c>
      <c r="M37" s="56">
        <v>0</v>
      </c>
      <c r="N37" s="56">
        <f>6-M37</f>
        <v>6</v>
      </c>
      <c r="O37" s="56">
        <f>5-M37-N37</f>
        <v>-1</v>
      </c>
      <c r="P37" s="56">
        <f t="shared" si="2"/>
        <v>-5</v>
      </c>
      <c r="Q37" s="84">
        <v>0</v>
      </c>
      <c r="R37" s="56">
        <v>0</v>
      </c>
      <c r="S37" s="56">
        <v>0</v>
      </c>
      <c r="T37" s="56">
        <v>0</v>
      </c>
      <c r="U37" s="56">
        <v>0</v>
      </c>
      <c r="V37" s="84">
        <v>0</v>
      </c>
      <c r="W37" s="56">
        <v>0</v>
      </c>
      <c r="X37" s="56">
        <v>0</v>
      </c>
      <c r="Y37" s="56">
        <v>0</v>
      </c>
      <c r="Z37" s="56">
        <v>0</v>
      </c>
      <c r="AA37" s="84">
        <v>0</v>
      </c>
      <c r="AB37" s="56">
        <v>0</v>
      </c>
      <c r="AC37" s="56">
        <v>0</v>
      </c>
      <c r="AD37" s="56">
        <v>0</v>
      </c>
      <c r="AE37" s="56">
        <v>0</v>
      </c>
      <c r="AF37" s="84">
        <f t="shared" si="3"/>
        <v>0</v>
      </c>
      <c r="AG37" s="56">
        <v>0</v>
      </c>
      <c r="AH37" s="56">
        <v>0</v>
      </c>
      <c r="AI37" s="56">
        <v>0</v>
      </c>
      <c r="AJ37" s="56">
        <v>0</v>
      </c>
      <c r="AK37" s="84">
        <f t="shared" si="4"/>
        <v>0</v>
      </c>
      <c r="AL37" s="56">
        <v>0</v>
      </c>
      <c r="AM37" s="56">
        <v>0</v>
      </c>
      <c r="AN37" s="56">
        <v>0</v>
      </c>
      <c r="AO37" s="84">
        <f t="shared" si="5"/>
        <v>0</v>
      </c>
      <c r="AP37" s="82"/>
    </row>
    <row r="38" spans="2:42" x14ac:dyDescent="0.35">
      <c r="B38" s="83" t="s">
        <v>227</v>
      </c>
      <c r="C38" s="56">
        <v>0</v>
      </c>
      <c r="D38" s="56">
        <v>0</v>
      </c>
      <c r="E38" s="56">
        <v>0</v>
      </c>
      <c r="F38" s="56">
        <v>0</v>
      </c>
      <c r="G38" s="84">
        <v>0</v>
      </c>
      <c r="H38" s="56">
        <v>0</v>
      </c>
      <c r="I38" s="56">
        <v>0</v>
      </c>
      <c r="J38" s="56">
        <v>0</v>
      </c>
      <c r="K38" s="56">
        <v>0</v>
      </c>
      <c r="L38" s="84">
        <v>0</v>
      </c>
      <c r="M38" s="56">
        <v>0</v>
      </c>
      <c r="N38" s="56">
        <v>0</v>
      </c>
      <c r="O38" s="56">
        <v>0</v>
      </c>
      <c r="P38" s="56">
        <v>0</v>
      </c>
      <c r="Q38" s="84">
        <v>0</v>
      </c>
      <c r="R38" s="56">
        <v>0</v>
      </c>
      <c r="S38" s="56">
        <v>0</v>
      </c>
      <c r="T38" s="56">
        <v>0</v>
      </c>
      <c r="U38" s="56">
        <v>0</v>
      </c>
      <c r="V38" s="84">
        <v>0</v>
      </c>
      <c r="W38" s="56">
        <v>0</v>
      </c>
      <c r="X38" s="56">
        <v>0</v>
      </c>
      <c r="Y38" s="56">
        <v>0</v>
      </c>
      <c r="Z38" s="56">
        <v>0</v>
      </c>
      <c r="AA38" s="84">
        <v>0</v>
      </c>
      <c r="AB38" s="56">
        <v>0</v>
      </c>
      <c r="AC38" s="56">
        <v>0</v>
      </c>
      <c r="AD38" s="56">
        <v>0</v>
      </c>
      <c r="AE38" s="56">
        <v>-448</v>
      </c>
      <c r="AF38" s="84">
        <f t="shared" si="3"/>
        <v>-448</v>
      </c>
      <c r="AG38" s="56">
        <v>0</v>
      </c>
      <c r="AH38" s="56">
        <v>0</v>
      </c>
      <c r="AI38" s="56">
        <v>0</v>
      </c>
      <c r="AJ38" s="56">
        <v>0</v>
      </c>
      <c r="AK38" s="84">
        <f t="shared" si="4"/>
        <v>0</v>
      </c>
      <c r="AL38" s="56">
        <v>0</v>
      </c>
      <c r="AM38" s="56">
        <v>0</v>
      </c>
      <c r="AN38" s="56">
        <v>0</v>
      </c>
      <c r="AO38" s="84">
        <f t="shared" si="5"/>
        <v>0</v>
      </c>
      <c r="AP38" s="82"/>
    </row>
    <row r="39" spans="2:42" x14ac:dyDescent="0.35">
      <c r="B39" s="83" t="s">
        <v>233</v>
      </c>
      <c r="C39" s="56">
        <v>0</v>
      </c>
      <c r="D39" s="56">
        <v>0</v>
      </c>
      <c r="E39" s="56">
        <v>0</v>
      </c>
      <c r="F39" s="56">
        <v>0</v>
      </c>
      <c r="G39" s="84">
        <v>0</v>
      </c>
      <c r="H39" s="56">
        <v>0</v>
      </c>
      <c r="I39" s="56">
        <v>0</v>
      </c>
      <c r="J39" s="56">
        <v>0</v>
      </c>
      <c r="K39" s="56">
        <v>0</v>
      </c>
      <c r="L39" s="84">
        <v>0</v>
      </c>
      <c r="M39" s="56">
        <v>0</v>
      </c>
      <c r="N39" s="56">
        <v>0</v>
      </c>
      <c r="O39" s="56">
        <v>0</v>
      </c>
      <c r="P39" s="56">
        <v>0</v>
      </c>
      <c r="Q39" s="84">
        <v>0</v>
      </c>
      <c r="R39" s="56">
        <v>0</v>
      </c>
      <c r="S39" s="56">
        <v>0</v>
      </c>
      <c r="T39" s="56">
        <v>0</v>
      </c>
      <c r="U39" s="56">
        <v>0</v>
      </c>
      <c r="V39" s="84">
        <v>0</v>
      </c>
      <c r="W39" s="56">
        <v>0</v>
      </c>
      <c r="X39" s="56">
        <v>0</v>
      </c>
      <c r="Y39" s="56">
        <v>0</v>
      </c>
      <c r="Z39" s="56">
        <v>0</v>
      </c>
      <c r="AA39" s="84">
        <v>0</v>
      </c>
      <c r="AB39" s="56">
        <v>0</v>
      </c>
      <c r="AC39" s="56">
        <v>0</v>
      </c>
      <c r="AD39" s="56">
        <v>0</v>
      </c>
      <c r="AE39" s="56">
        <v>0</v>
      </c>
      <c r="AF39" s="84">
        <v>0</v>
      </c>
      <c r="AG39" s="56">
        <v>0</v>
      </c>
      <c r="AH39" s="56">
        <v>0</v>
      </c>
      <c r="AI39" s="56">
        <v>0</v>
      </c>
      <c r="AJ39" s="56">
        <v>0</v>
      </c>
      <c r="AK39" s="84">
        <f t="shared" si="4"/>
        <v>0</v>
      </c>
      <c r="AL39" s="56">
        <v>0</v>
      </c>
      <c r="AM39" s="56">
        <v>0</v>
      </c>
      <c r="AN39" s="56">
        <v>0</v>
      </c>
      <c r="AO39" s="84">
        <f t="shared" si="5"/>
        <v>0</v>
      </c>
      <c r="AP39" s="82"/>
    </row>
    <row r="40" spans="2:42" x14ac:dyDescent="0.35">
      <c r="B40" s="83" t="s">
        <v>237</v>
      </c>
      <c r="C40" s="56">
        <v>0</v>
      </c>
      <c r="D40" s="56">
        <v>0</v>
      </c>
      <c r="E40" s="56">
        <v>0</v>
      </c>
      <c r="F40" s="56">
        <v>0</v>
      </c>
      <c r="G40" s="84">
        <v>0</v>
      </c>
      <c r="H40" s="56">
        <v>0</v>
      </c>
      <c r="I40" s="56">
        <v>0</v>
      </c>
      <c r="J40" s="56">
        <v>0</v>
      </c>
      <c r="K40" s="56">
        <v>0</v>
      </c>
      <c r="L40" s="84">
        <v>0</v>
      </c>
      <c r="M40" s="56">
        <v>0</v>
      </c>
      <c r="N40" s="56">
        <v>0</v>
      </c>
      <c r="O40" s="56">
        <v>0</v>
      </c>
      <c r="P40" s="56">
        <v>0</v>
      </c>
      <c r="Q40" s="84">
        <v>0</v>
      </c>
      <c r="R40" s="56">
        <v>0</v>
      </c>
      <c r="S40" s="56">
        <v>0</v>
      </c>
      <c r="T40" s="56">
        <v>0</v>
      </c>
      <c r="U40" s="56">
        <v>0</v>
      </c>
      <c r="V40" s="84">
        <v>0</v>
      </c>
      <c r="W40" s="56">
        <v>0</v>
      </c>
      <c r="X40" s="56">
        <v>0</v>
      </c>
      <c r="Y40" s="56">
        <v>0</v>
      </c>
      <c r="Z40" s="56">
        <v>0</v>
      </c>
      <c r="AA40" s="84">
        <v>0</v>
      </c>
      <c r="AB40" s="56">
        <v>0</v>
      </c>
      <c r="AC40" s="56">
        <v>0</v>
      </c>
      <c r="AD40" s="56">
        <v>0</v>
      </c>
      <c r="AE40" s="56">
        <v>0</v>
      </c>
      <c r="AF40" s="84">
        <v>0</v>
      </c>
      <c r="AG40" s="56">
        <v>102</v>
      </c>
      <c r="AH40" s="56">
        <v>-145</v>
      </c>
      <c r="AI40" s="56">
        <v>-35</v>
      </c>
      <c r="AJ40" s="56">
        <v>-49</v>
      </c>
      <c r="AK40" s="84">
        <f t="shared" si="4"/>
        <v>-127</v>
      </c>
      <c r="AL40" s="56">
        <v>70</v>
      </c>
      <c r="AM40" s="56">
        <v>-67</v>
      </c>
      <c r="AN40" s="56">
        <v>-5</v>
      </c>
      <c r="AO40" s="84">
        <f t="shared" si="5"/>
        <v>-2</v>
      </c>
      <c r="AP40" s="82"/>
    </row>
    <row r="41" spans="2:42" x14ac:dyDescent="0.35">
      <c r="B41" s="83" t="s">
        <v>234</v>
      </c>
      <c r="C41" s="56">
        <v>0</v>
      </c>
      <c r="D41" s="56">
        <v>0</v>
      </c>
      <c r="E41" s="56">
        <v>0</v>
      </c>
      <c r="F41" s="56">
        <v>0</v>
      </c>
      <c r="G41" s="84">
        <v>0</v>
      </c>
      <c r="H41" s="56">
        <v>0</v>
      </c>
      <c r="I41" s="56">
        <v>0</v>
      </c>
      <c r="J41" s="56">
        <v>0</v>
      </c>
      <c r="K41" s="56">
        <v>0</v>
      </c>
      <c r="L41" s="84">
        <v>0</v>
      </c>
      <c r="M41" s="56">
        <v>0</v>
      </c>
      <c r="N41" s="56">
        <v>0</v>
      </c>
      <c r="O41" s="56">
        <v>0</v>
      </c>
      <c r="P41" s="56">
        <v>0</v>
      </c>
      <c r="Q41" s="84">
        <v>0</v>
      </c>
      <c r="R41" s="56">
        <v>0</v>
      </c>
      <c r="S41" s="56">
        <v>0</v>
      </c>
      <c r="T41" s="56">
        <v>0</v>
      </c>
      <c r="U41" s="56">
        <v>0</v>
      </c>
      <c r="V41" s="84">
        <v>0</v>
      </c>
      <c r="W41" s="56">
        <v>0</v>
      </c>
      <c r="X41" s="56">
        <v>0</v>
      </c>
      <c r="Y41" s="56">
        <v>0</v>
      </c>
      <c r="Z41" s="56">
        <v>0</v>
      </c>
      <c r="AA41" s="84">
        <v>0</v>
      </c>
      <c r="AB41" s="56">
        <v>0</v>
      </c>
      <c r="AC41" s="56">
        <v>0</v>
      </c>
      <c r="AD41" s="56">
        <v>0</v>
      </c>
      <c r="AE41" s="56">
        <v>0</v>
      </c>
      <c r="AF41" s="84">
        <v>0</v>
      </c>
      <c r="AG41" s="56">
        <v>-1218</v>
      </c>
      <c r="AH41" s="56">
        <v>0</v>
      </c>
      <c r="AI41" s="56">
        <v>0</v>
      </c>
      <c r="AJ41" s="56">
        <v>-66</v>
      </c>
      <c r="AK41" s="84">
        <f t="shared" si="4"/>
        <v>-1284</v>
      </c>
      <c r="AL41" s="56">
        <v>0</v>
      </c>
      <c r="AM41" s="56">
        <v>0</v>
      </c>
      <c r="AN41" s="56">
        <v>0</v>
      </c>
      <c r="AO41" s="84">
        <f t="shared" si="5"/>
        <v>0</v>
      </c>
      <c r="AP41" s="82"/>
    </row>
    <row r="42" spans="2:42" x14ac:dyDescent="0.35">
      <c r="B42" s="83" t="s">
        <v>184</v>
      </c>
      <c r="C42" s="56">
        <v>0</v>
      </c>
      <c r="D42" s="56">
        <v>0</v>
      </c>
      <c r="E42" s="56">
        <v>0</v>
      </c>
      <c r="F42" s="56">
        <v>0</v>
      </c>
      <c r="G42" s="84">
        <v>0</v>
      </c>
      <c r="H42" s="56">
        <v>0</v>
      </c>
      <c r="I42" s="56">
        <v>0</v>
      </c>
      <c r="J42" s="56">
        <v>0</v>
      </c>
      <c r="K42" s="56">
        <v>0</v>
      </c>
      <c r="L42" s="84">
        <v>0</v>
      </c>
      <c r="M42" s="56">
        <v>0</v>
      </c>
      <c r="N42" s="56">
        <v>0</v>
      </c>
      <c r="O42" s="56">
        <v>0</v>
      </c>
      <c r="P42" s="56">
        <v>0</v>
      </c>
      <c r="Q42" s="84">
        <v>0</v>
      </c>
      <c r="R42" s="56">
        <v>0</v>
      </c>
      <c r="S42" s="56">
        <v>0</v>
      </c>
      <c r="T42" s="56">
        <v>0</v>
      </c>
      <c r="U42" s="56">
        <v>0</v>
      </c>
      <c r="V42" s="84">
        <v>0</v>
      </c>
      <c r="W42" s="56">
        <v>0</v>
      </c>
      <c r="X42" s="56">
        <v>0</v>
      </c>
      <c r="Y42" s="56">
        <v>0</v>
      </c>
      <c r="Z42" s="56">
        <v>0</v>
      </c>
      <c r="AA42" s="84">
        <v>0</v>
      </c>
      <c r="AB42" s="56">
        <v>0</v>
      </c>
      <c r="AC42" s="56">
        <v>0</v>
      </c>
      <c r="AD42" s="56">
        <v>0</v>
      </c>
      <c r="AE42" s="56">
        <v>0</v>
      </c>
      <c r="AF42" s="84">
        <v>0</v>
      </c>
      <c r="AG42" s="56">
        <v>0</v>
      </c>
      <c r="AH42" s="56">
        <v>0</v>
      </c>
      <c r="AI42" s="56">
        <v>0</v>
      </c>
      <c r="AJ42" s="56">
        <v>-21</v>
      </c>
      <c r="AK42" s="84">
        <f t="shared" si="4"/>
        <v>-21</v>
      </c>
      <c r="AL42" s="56">
        <v>0</v>
      </c>
      <c r="AM42" s="56">
        <v>0</v>
      </c>
      <c r="AN42" s="56">
        <v>0</v>
      </c>
      <c r="AO42" s="84">
        <f t="shared" si="5"/>
        <v>0</v>
      </c>
      <c r="AP42" s="82"/>
    </row>
    <row r="43" spans="2:42" x14ac:dyDescent="0.35">
      <c r="B43" s="83" t="s">
        <v>245</v>
      </c>
      <c r="C43" s="56">
        <v>0</v>
      </c>
      <c r="D43" s="56">
        <v>0</v>
      </c>
      <c r="E43" s="56">
        <v>0</v>
      </c>
      <c r="F43" s="56">
        <f t="shared" si="0"/>
        <v>0</v>
      </c>
      <c r="G43" s="84">
        <v>0</v>
      </c>
      <c r="H43" s="56">
        <v>0</v>
      </c>
      <c r="I43" s="56">
        <v>0</v>
      </c>
      <c r="J43" s="56">
        <v>0</v>
      </c>
      <c r="K43" s="56">
        <f t="shared" si="1"/>
        <v>0</v>
      </c>
      <c r="L43" s="84">
        <v>0</v>
      </c>
      <c r="M43" s="56">
        <v>0</v>
      </c>
      <c r="N43" s="56">
        <v>0</v>
      </c>
      <c r="O43" s="56">
        <v>0</v>
      </c>
      <c r="P43" s="56">
        <f t="shared" si="2"/>
        <v>0</v>
      </c>
      <c r="Q43" s="84">
        <v>0</v>
      </c>
      <c r="R43" s="56">
        <v>0</v>
      </c>
      <c r="S43" s="56">
        <v>0</v>
      </c>
      <c r="T43" s="56">
        <v>0</v>
      </c>
      <c r="U43" s="56">
        <v>0</v>
      </c>
      <c r="V43" s="84">
        <v>0</v>
      </c>
      <c r="W43" s="56">
        <v>-164</v>
      </c>
      <c r="X43" s="56">
        <v>13</v>
      </c>
      <c r="Y43" s="56">
        <v>0</v>
      </c>
      <c r="Z43" s="56">
        <v>-215</v>
      </c>
      <c r="AA43" s="84">
        <v>-366</v>
      </c>
      <c r="AB43" s="56">
        <v>0</v>
      </c>
      <c r="AC43" s="56">
        <v>-236</v>
      </c>
      <c r="AD43" s="56">
        <v>-186</v>
      </c>
      <c r="AE43" s="56">
        <v>179</v>
      </c>
      <c r="AF43" s="84">
        <f t="shared" si="3"/>
        <v>-243</v>
      </c>
      <c r="AG43" s="56">
        <v>0</v>
      </c>
      <c r="AH43" s="56">
        <v>0</v>
      </c>
      <c r="AI43" s="56">
        <v>0</v>
      </c>
      <c r="AJ43" s="56">
        <v>-82</v>
      </c>
      <c r="AK43" s="84">
        <f t="shared" si="4"/>
        <v>-82</v>
      </c>
      <c r="AL43" s="56">
        <v>0</v>
      </c>
      <c r="AM43" s="56">
        <v>0</v>
      </c>
      <c r="AN43" s="56">
        <v>0</v>
      </c>
      <c r="AO43" s="84">
        <f t="shared" si="5"/>
        <v>0</v>
      </c>
      <c r="AP43" s="82"/>
    </row>
    <row r="44" spans="2:42" x14ac:dyDescent="0.35">
      <c r="B44" s="83"/>
      <c r="C44" s="64">
        <f>SUM(C9:C43)</f>
        <v>810</v>
      </c>
      <c r="D44" s="64">
        <f>SUM(D9:D43)</f>
        <v>1294</v>
      </c>
      <c r="E44" s="64">
        <f>SUM(E9:E43)</f>
        <v>1117</v>
      </c>
      <c r="F44" s="64">
        <f>SUM(F9:F37)</f>
        <v>948</v>
      </c>
      <c r="G44" s="86">
        <f>SUM(G9:G43)</f>
        <v>4169</v>
      </c>
      <c r="H44" s="64">
        <f>SUM(H9:H43)</f>
        <v>832</v>
      </c>
      <c r="I44" s="64">
        <f>SUM(I9:I43)</f>
        <v>746</v>
      </c>
      <c r="J44" s="64">
        <f>SUM(J9:J43)</f>
        <v>893</v>
      </c>
      <c r="K44" s="64">
        <f>SUM(K9:K37)</f>
        <v>1223</v>
      </c>
      <c r="L44" s="86">
        <f>SUM(L9:L43)</f>
        <v>3694</v>
      </c>
      <c r="M44" s="64">
        <f>SUM(M9:M43)</f>
        <v>807</v>
      </c>
      <c r="N44" s="64">
        <f>SUM(N9:N43)</f>
        <v>945</v>
      </c>
      <c r="O44" s="64">
        <f>SUM(O9:O43)</f>
        <v>848</v>
      </c>
      <c r="P44" s="64">
        <f>SUM(P9:P37)</f>
        <v>688</v>
      </c>
      <c r="Q44" s="86">
        <f>SUM(Q9:Q43)</f>
        <v>3288</v>
      </c>
      <c r="R44" s="64">
        <f>SUM(R9:R43)</f>
        <v>385</v>
      </c>
      <c r="S44" s="64">
        <f>SUM(S9:S43)</f>
        <v>1083</v>
      </c>
      <c r="T44" s="64">
        <f>SUM(T9:T43)</f>
        <v>1069</v>
      </c>
      <c r="U44" s="64">
        <f t="shared" ref="U44:U66" si="7">V44-SUM(R44:T44)</f>
        <v>916</v>
      </c>
      <c r="V44" s="86">
        <f t="shared" ref="V44:AK44" si="8">SUM(V9:V43)</f>
        <v>3453</v>
      </c>
      <c r="W44" s="64">
        <f t="shared" si="8"/>
        <v>402</v>
      </c>
      <c r="X44" s="64">
        <f t="shared" si="8"/>
        <v>781.32687491477645</v>
      </c>
      <c r="Y44" s="64">
        <f t="shared" si="8"/>
        <v>2487</v>
      </c>
      <c r="Z44" s="64">
        <f t="shared" si="8"/>
        <v>2357.6731250852235</v>
      </c>
      <c r="AA44" s="86">
        <f t="shared" si="8"/>
        <v>6028</v>
      </c>
      <c r="AB44" s="64">
        <f t="shared" si="8"/>
        <v>2352</v>
      </c>
      <c r="AC44" s="64">
        <f t="shared" si="8"/>
        <v>3101</v>
      </c>
      <c r="AD44" s="64">
        <f t="shared" si="8"/>
        <v>3836</v>
      </c>
      <c r="AE44" s="64">
        <f t="shared" si="8"/>
        <v>1683</v>
      </c>
      <c r="AF44" s="86">
        <f t="shared" si="8"/>
        <v>10972</v>
      </c>
      <c r="AG44" s="64">
        <f t="shared" si="8"/>
        <v>2116</v>
      </c>
      <c r="AH44" s="64">
        <f t="shared" si="8"/>
        <v>3211</v>
      </c>
      <c r="AI44" s="64">
        <f t="shared" si="8"/>
        <v>2708</v>
      </c>
      <c r="AJ44" s="64">
        <f t="shared" si="8"/>
        <v>2532</v>
      </c>
      <c r="AK44" s="86">
        <f t="shared" si="8"/>
        <v>10567</v>
      </c>
      <c r="AL44" s="64">
        <f t="shared" ref="AL44" si="9">SUM(AL9:AL43)</f>
        <v>1261</v>
      </c>
      <c r="AM44" s="64">
        <f t="shared" ref="AM44:AN44" si="10">SUM(AM9:AM43)</f>
        <v>1834</v>
      </c>
      <c r="AN44" s="64">
        <f t="shared" si="10"/>
        <v>1933</v>
      </c>
      <c r="AO44" s="86">
        <f t="shared" si="5"/>
        <v>5028</v>
      </c>
      <c r="AP44" s="82"/>
    </row>
    <row r="45" spans="2:42" x14ac:dyDescent="0.35">
      <c r="B45" s="77" t="s">
        <v>86</v>
      </c>
      <c r="C45" s="56"/>
      <c r="D45" s="56"/>
      <c r="E45" s="56"/>
      <c r="F45" s="56"/>
      <c r="G45" s="84"/>
      <c r="H45" s="56"/>
      <c r="I45" s="56"/>
      <c r="J45" s="56"/>
      <c r="K45" s="56"/>
      <c r="L45" s="84"/>
      <c r="M45" s="56"/>
      <c r="N45" s="56"/>
      <c r="O45" s="56"/>
      <c r="P45" s="56"/>
      <c r="Q45" s="84"/>
      <c r="R45" s="56"/>
      <c r="S45" s="56"/>
      <c r="T45" s="56"/>
      <c r="U45" s="56"/>
      <c r="V45" s="84"/>
      <c r="W45" s="56"/>
      <c r="X45" s="56"/>
      <c r="Y45" s="56"/>
      <c r="Z45" s="56"/>
      <c r="AA45" s="84"/>
      <c r="AB45" s="56"/>
      <c r="AC45" s="56"/>
      <c r="AD45" s="56"/>
      <c r="AE45" s="56"/>
      <c r="AF45" s="84"/>
      <c r="AG45" s="56"/>
      <c r="AH45" s="56"/>
      <c r="AI45" s="56"/>
      <c r="AJ45" s="56"/>
      <c r="AK45" s="84"/>
      <c r="AL45" s="56"/>
      <c r="AM45" s="56"/>
      <c r="AN45" s="56"/>
      <c r="AO45" s="84"/>
      <c r="AP45" s="82"/>
    </row>
    <row r="46" spans="2:42" x14ac:dyDescent="0.35">
      <c r="B46" s="83" t="s">
        <v>87</v>
      </c>
      <c r="C46" s="56">
        <v>1389</v>
      </c>
      <c r="D46" s="56">
        <f>1701-C46</f>
        <v>312</v>
      </c>
      <c r="E46" s="56">
        <f>1101-C46-D46</f>
        <v>-600</v>
      </c>
      <c r="F46" s="56">
        <f t="shared" ref="F46:F53" si="11">G46-SUM(C46:E46)</f>
        <v>653</v>
      </c>
      <c r="G46" s="84">
        <v>1754</v>
      </c>
      <c r="H46" s="56">
        <v>76</v>
      </c>
      <c r="I46" s="56">
        <f>-277-H46</f>
        <v>-353</v>
      </c>
      <c r="J46" s="56">
        <f>-254-H46-I46</f>
        <v>23</v>
      </c>
      <c r="K46" s="56">
        <f t="shared" ref="K46:K53" si="12">L46-SUM(H46:J46)</f>
        <v>696</v>
      </c>
      <c r="L46" s="84">
        <v>442</v>
      </c>
      <c r="M46" s="56">
        <v>562</v>
      </c>
      <c r="N46" s="56">
        <f>921-M46</f>
        <v>359</v>
      </c>
      <c r="O46" s="56">
        <f>581-N46-M46</f>
        <v>-340</v>
      </c>
      <c r="P46" s="56">
        <f t="shared" ref="P46:P53" si="13">Q46-SUM(M46:O46)</f>
        <v>57</v>
      </c>
      <c r="Q46" s="84">
        <v>638</v>
      </c>
      <c r="R46" s="56">
        <v>-302</v>
      </c>
      <c r="S46" s="56">
        <v>-958</v>
      </c>
      <c r="T46" s="56">
        <v>995</v>
      </c>
      <c r="U46" s="56">
        <v>-430</v>
      </c>
      <c r="V46" s="84">
        <v>-695</v>
      </c>
      <c r="W46" s="56">
        <v>-415</v>
      </c>
      <c r="X46" s="56">
        <v>40.398685488514275</v>
      </c>
      <c r="Y46" s="56">
        <v>-105</v>
      </c>
      <c r="Z46" s="56">
        <v>-560.09764458744303</v>
      </c>
      <c r="AA46" s="84">
        <v>-1039.6989590989288</v>
      </c>
      <c r="AB46" s="56">
        <v>834</v>
      </c>
      <c r="AC46" s="56">
        <v>-249</v>
      </c>
      <c r="AD46" s="56">
        <v>-132</v>
      </c>
      <c r="AE46" s="56">
        <v>2457</v>
      </c>
      <c r="AF46" s="84">
        <f t="shared" ref="AF46:AF61" si="14">SUM(AB46:AE46)</f>
        <v>2910</v>
      </c>
      <c r="AG46" s="56">
        <v>-216</v>
      </c>
      <c r="AH46" s="56">
        <v>104</v>
      </c>
      <c r="AI46" s="56">
        <v>-59</v>
      </c>
      <c r="AJ46" s="56">
        <v>385</v>
      </c>
      <c r="AK46" s="84">
        <f t="shared" ref="AK46:AK53" si="15">SUM(AG46:AJ46)</f>
        <v>214</v>
      </c>
      <c r="AL46" s="56">
        <v>-793</v>
      </c>
      <c r="AM46" s="56">
        <v>1175</v>
      </c>
      <c r="AN46" s="56">
        <v>368</v>
      </c>
      <c r="AO46" s="84">
        <f t="shared" ref="AO46:AO53" si="16">SUM(AL46:AN46)</f>
        <v>750</v>
      </c>
      <c r="AP46" s="82"/>
    </row>
    <row r="47" spans="2:42" x14ac:dyDescent="0.35">
      <c r="B47" s="83" t="s">
        <v>83</v>
      </c>
      <c r="C47" s="56">
        <v>9</v>
      </c>
      <c r="D47" s="56">
        <f>13-C47</f>
        <v>4</v>
      </c>
      <c r="E47" s="56">
        <f>-21-D47-C47</f>
        <v>-34</v>
      </c>
      <c r="F47" s="56">
        <f t="shared" si="11"/>
        <v>-51</v>
      </c>
      <c r="G47" s="84">
        <v>-72</v>
      </c>
      <c r="H47" s="56">
        <v>-37</v>
      </c>
      <c r="I47" s="56">
        <f>-58-H47</f>
        <v>-21</v>
      </c>
      <c r="J47" s="56">
        <f>-145-H47-I47</f>
        <v>-87</v>
      </c>
      <c r="K47" s="56">
        <f t="shared" si="12"/>
        <v>-57</v>
      </c>
      <c r="L47" s="84">
        <v>-202</v>
      </c>
      <c r="M47" s="56">
        <v>-60</v>
      </c>
      <c r="N47" s="56">
        <f>-58-M47</f>
        <v>2</v>
      </c>
      <c r="O47" s="56">
        <f>-37-M47-N47</f>
        <v>21</v>
      </c>
      <c r="P47" s="56">
        <f t="shared" si="13"/>
        <v>-55</v>
      </c>
      <c r="Q47" s="84">
        <v>-92</v>
      </c>
      <c r="R47" s="56">
        <v>3</v>
      </c>
      <c r="S47" s="56">
        <v>-40</v>
      </c>
      <c r="T47" s="56">
        <v>-76</v>
      </c>
      <c r="U47" s="56">
        <v>249</v>
      </c>
      <c r="V47" s="84">
        <v>136</v>
      </c>
      <c r="W47" s="56">
        <v>-1</v>
      </c>
      <c r="X47" s="56">
        <v>-17</v>
      </c>
      <c r="Y47" s="56">
        <v>-110</v>
      </c>
      <c r="Z47" s="56">
        <v>-111</v>
      </c>
      <c r="AA47" s="84">
        <v>-239</v>
      </c>
      <c r="AB47" s="56">
        <v>-108</v>
      </c>
      <c r="AC47" s="56">
        <v>-211</v>
      </c>
      <c r="AD47" s="56">
        <v>-173</v>
      </c>
      <c r="AE47" s="56">
        <v>-348</v>
      </c>
      <c r="AF47" s="84">
        <f t="shared" si="14"/>
        <v>-840</v>
      </c>
      <c r="AG47" s="56">
        <v>-219</v>
      </c>
      <c r="AH47" s="56">
        <v>-6</v>
      </c>
      <c r="AI47" s="56">
        <v>1</v>
      </c>
      <c r="AJ47" s="56">
        <v>47</v>
      </c>
      <c r="AK47" s="84">
        <f t="shared" si="15"/>
        <v>-177</v>
      </c>
      <c r="AL47" s="56">
        <v>-11</v>
      </c>
      <c r="AM47" s="56">
        <v>-11</v>
      </c>
      <c r="AN47" s="56">
        <v>-20</v>
      </c>
      <c r="AO47" s="84">
        <f t="shared" si="16"/>
        <v>-42</v>
      </c>
      <c r="AP47" s="82"/>
    </row>
    <row r="48" spans="2:42" x14ac:dyDescent="0.35">
      <c r="B48" s="83" t="s">
        <v>88</v>
      </c>
      <c r="C48" s="56">
        <v>379</v>
      </c>
      <c r="D48" s="56">
        <f>362-C48</f>
        <v>-17</v>
      </c>
      <c r="E48" s="56">
        <f>244-C48-D48</f>
        <v>-118</v>
      </c>
      <c r="F48" s="56">
        <f t="shared" si="11"/>
        <v>278</v>
      </c>
      <c r="G48" s="84">
        <v>522</v>
      </c>
      <c r="H48" s="56">
        <v>-172</v>
      </c>
      <c r="I48" s="56">
        <f>-444-H48</f>
        <v>-272</v>
      </c>
      <c r="J48" s="56">
        <f>-779-I48-H48</f>
        <v>-335</v>
      </c>
      <c r="K48" s="56">
        <f t="shared" si="12"/>
        <v>359</v>
      </c>
      <c r="L48" s="84">
        <v>-420</v>
      </c>
      <c r="M48" s="56">
        <v>-481</v>
      </c>
      <c r="N48" s="56">
        <f>-781-M48</f>
        <v>-300</v>
      </c>
      <c r="O48" s="56">
        <f>-906-M48-N48</f>
        <v>-125</v>
      </c>
      <c r="P48" s="56">
        <f t="shared" si="13"/>
        <v>738</v>
      </c>
      <c r="Q48" s="84">
        <v>-168</v>
      </c>
      <c r="R48" s="56">
        <v>-137</v>
      </c>
      <c r="S48" s="56">
        <v>-309</v>
      </c>
      <c r="T48" s="56">
        <v>186</v>
      </c>
      <c r="U48" s="56">
        <v>593</v>
      </c>
      <c r="V48" s="84">
        <v>333</v>
      </c>
      <c r="W48" s="56">
        <v>538</v>
      </c>
      <c r="X48" s="56">
        <v>-71.032557511192863</v>
      </c>
      <c r="Y48" s="56">
        <v>-436</v>
      </c>
      <c r="Z48" s="56">
        <v>41.712703074397723</v>
      </c>
      <c r="AA48" s="84">
        <v>72.68014556320486</v>
      </c>
      <c r="AB48" s="56">
        <v>258</v>
      </c>
      <c r="AC48" s="56">
        <v>-1004</v>
      </c>
      <c r="AD48" s="56">
        <v>-8</v>
      </c>
      <c r="AE48" s="56">
        <v>162</v>
      </c>
      <c r="AF48" s="84">
        <f t="shared" si="14"/>
        <v>-592</v>
      </c>
      <c r="AG48" s="56">
        <v>-1134</v>
      </c>
      <c r="AH48" s="56">
        <v>339</v>
      </c>
      <c r="AI48" s="56">
        <v>364</v>
      </c>
      <c r="AJ48" s="56">
        <v>6</v>
      </c>
      <c r="AK48" s="84">
        <f t="shared" si="15"/>
        <v>-425</v>
      </c>
      <c r="AL48" s="56">
        <v>-190</v>
      </c>
      <c r="AM48" s="56">
        <v>-414</v>
      </c>
      <c r="AN48" s="56">
        <v>-254</v>
      </c>
      <c r="AO48" s="84">
        <f t="shared" si="16"/>
        <v>-858</v>
      </c>
      <c r="AP48" s="82"/>
    </row>
    <row r="49" spans="2:42" x14ac:dyDescent="0.35">
      <c r="B49" s="83" t="s">
        <v>89</v>
      </c>
      <c r="C49" s="56">
        <v>-64</v>
      </c>
      <c r="D49" s="56">
        <f>224-C49</f>
        <v>288</v>
      </c>
      <c r="E49" s="56">
        <f>216-D49-C49</f>
        <v>-8</v>
      </c>
      <c r="F49" s="56">
        <f t="shared" si="11"/>
        <v>106</v>
      </c>
      <c r="G49" s="84">
        <v>322</v>
      </c>
      <c r="H49" s="56">
        <v>-53</v>
      </c>
      <c r="I49" s="56">
        <f>17-H49</f>
        <v>70</v>
      </c>
      <c r="J49" s="56">
        <f>115-I49-H49</f>
        <v>98</v>
      </c>
      <c r="K49" s="56">
        <f t="shared" si="12"/>
        <v>-245</v>
      </c>
      <c r="L49" s="84">
        <v>-130</v>
      </c>
      <c r="M49" s="56">
        <v>-257</v>
      </c>
      <c r="N49" s="56">
        <f>-588-M49</f>
        <v>-331</v>
      </c>
      <c r="O49" s="56">
        <f>-633-M49-N49</f>
        <v>-45</v>
      </c>
      <c r="P49" s="56">
        <f t="shared" si="13"/>
        <v>340</v>
      </c>
      <c r="Q49" s="84">
        <v>-293</v>
      </c>
      <c r="R49" s="56">
        <v>-199</v>
      </c>
      <c r="S49" s="56">
        <v>-14</v>
      </c>
      <c r="T49" s="56">
        <v>-13</v>
      </c>
      <c r="U49" s="56">
        <v>19</v>
      </c>
      <c r="V49" s="84">
        <v>-207</v>
      </c>
      <c r="W49" s="56">
        <v>-78</v>
      </c>
      <c r="X49" s="56">
        <v>229.71227969808024</v>
      </c>
      <c r="Y49" s="56">
        <v>189</v>
      </c>
      <c r="Z49" s="56">
        <v>-295.97964036983649</v>
      </c>
      <c r="AA49" s="84">
        <v>44.732639328243749</v>
      </c>
      <c r="AB49" s="56">
        <v>-797</v>
      </c>
      <c r="AC49" s="56">
        <v>-504</v>
      </c>
      <c r="AD49" s="56">
        <v>-524</v>
      </c>
      <c r="AE49" s="56">
        <v>-600</v>
      </c>
      <c r="AF49" s="84">
        <f t="shared" si="14"/>
        <v>-2425</v>
      </c>
      <c r="AG49" s="56">
        <v>-1032</v>
      </c>
      <c r="AH49" s="56">
        <v>-474</v>
      </c>
      <c r="AI49" s="56">
        <v>-44</v>
      </c>
      <c r="AJ49" s="56">
        <v>78</v>
      </c>
      <c r="AK49" s="84">
        <f t="shared" si="15"/>
        <v>-1472</v>
      </c>
      <c r="AL49" s="56">
        <v>-376</v>
      </c>
      <c r="AM49" s="56">
        <v>54</v>
      </c>
      <c r="AN49" s="56">
        <v>495</v>
      </c>
      <c r="AO49" s="84">
        <f t="shared" si="16"/>
        <v>173</v>
      </c>
      <c r="AP49" s="82"/>
    </row>
    <row r="50" spans="2:42" x14ac:dyDescent="0.35">
      <c r="B50" s="83" t="s">
        <v>90</v>
      </c>
      <c r="C50" s="56">
        <v>150</v>
      </c>
      <c r="D50" s="56">
        <f>253-C50</f>
        <v>103</v>
      </c>
      <c r="E50" s="56">
        <f>288-C50-D50</f>
        <v>35</v>
      </c>
      <c r="F50" s="56">
        <f t="shared" si="11"/>
        <v>-117</v>
      </c>
      <c r="G50" s="84">
        <v>171</v>
      </c>
      <c r="H50" s="56">
        <v>46</v>
      </c>
      <c r="I50" s="56">
        <f>108-H50</f>
        <v>62</v>
      </c>
      <c r="J50" s="56">
        <f>45-H50-I50</f>
        <v>-63</v>
      </c>
      <c r="K50" s="56">
        <f t="shared" si="12"/>
        <v>-33</v>
      </c>
      <c r="L50" s="84">
        <v>12</v>
      </c>
      <c r="M50" s="56">
        <v>80</v>
      </c>
      <c r="N50" s="56">
        <f>-40-M50</f>
        <v>-120</v>
      </c>
      <c r="O50" s="56">
        <f>-267-N50-M50</f>
        <v>-227</v>
      </c>
      <c r="P50" s="56">
        <f t="shared" si="13"/>
        <v>5</v>
      </c>
      <c r="Q50" s="84">
        <v>-262</v>
      </c>
      <c r="R50" s="56">
        <v>-62</v>
      </c>
      <c r="S50" s="56">
        <v>-201</v>
      </c>
      <c r="T50" s="56">
        <v>219</v>
      </c>
      <c r="U50" s="56">
        <v>-450</v>
      </c>
      <c r="V50" s="84">
        <v>-494</v>
      </c>
      <c r="W50" s="56">
        <v>35</v>
      </c>
      <c r="X50" s="56">
        <v>37.315203293508603</v>
      </c>
      <c r="Y50" s="56">
        <v>219</v>
      </c>
      <c r="Z50" s="56">
        <v>462.7394541794265</v>
      </c>
      <c r="AA50" s="84">
        <v>754.05465747293511</v>
      </c>
      <c r="AB50" s="56">
        <v>2</v>
      </c>
      <c r="AC50" s="56">
        <v>171</v>
      </c>
      <c r="AD50" s="56">
        <v>8</v>
      </c>
      <c r="AE50" s="56">
        <v>-119</v>
      </c>
      <c r="AF50" s="84">
        <f t="shared" si="14"/>
        <v>62</v>
      </c>
      <c r="AG50" s="56">
        <v>637</v>
      </c>
      <c r="AH50" s="56">
        <v>-614</v>
      </c>
      <c r="AI50" s="56">
        <v>353</v>
      </c>
      <c r="AJ50" s="56">
        <v>117</v>
      </c>
      <c r="AK50" s="84">
        <f t="shared" si="15"/>
        <v>493</v>
      </c>
      <c r="AL50" s="56">
        <v>-33</v>
      </c>
      <c r="AM50" s="56">
        <v>79</v>
      </c>
      <c r="AN50" s="56">
        <v>139</v>
      </c>
      <c r="AO50" s="84">
        <f t="shared" si="16"/>
        <v>185</v>
      </c>
      <c r="AP50" s="82"/>
    </row>
    <row r="51" spans="2:42" x14ac:dyDescent="0.35">
      <c r="B51" s="83" t="s">
        <v>91</v>
      </c>
      <c r="C51" s="56">
        <v>-113</v>
      </c>
      <c r="D51" s="56">
        <f>-193-C51</f>
        <v>-80</v>
      </c>
      <c r="E51" s="56">
        <f>-154-C51-D51</f>
        <v>39</v>
      </c>
      <c r="F51" s="56">
        <f t="shared" si="11"/>
        <v>474</v>
      </c>
      <c r="G51" s="84">
        <v>320</v>
      </c>
      <c r="H51" s="56">
        <v>24</v>
      </c>
      <c r="I51" s="56">
        <f>344-H51</f>
        <v>320</v>
      </c>
      <c r="J51" s="56">
        <f>441-H51-I51</f>
        <v>97</v>
      </c>
      <c r="K51" s="56">
        <f t="shared" si="12"/>
        <v>-46</v>
      </c>
      <c r="L51" s="84">
        <v>395</v>
      </c>
      <c r="M51" s="56">
        <v>-79</v>
      </c>
      <c r="N51" s="56">
        <f>-180-M51</f>
        <v>-101</v>
      </c>
      <c r="O51" s="56">
        <f>-173-M51-N51</f>
        <v>7</v>
      </c>
      <c r="P51" s="56">
        <f t="shared" si="13"/>
        <v>156</v>
      </c>
      <c r="Q51" s="84">
        <v>-17</v>
      </c>
      <c r="R51" s="56">
        <v>-113</v>
      </c>
      <c r="S51" s="56">
        <v>-3</v>
      </c>
      <c r="T51" s="56">
        <v>-106</v>
      </c>
      <c r="U51" s="56">
        <v>264</v>
      </c>
      <c r="V51" s="84">
        <v>42</v>
      </c>
      <c r="W51" s="56">
        <v>-18</v>
      </c>
      <c r="X51" s="56">
        <v>-8</v>
      </c>
      <c r="Y51" s="56">
        <v>35</v>
      </c>
      <c r="Z51" s="56">
        <v>24</v>
      </c>
      <c r="AA51" s="84">
        <v>33</v>
      </c>
      <c r="AB51" s="56">
        <v>-16</v>
      </c>
      <c r="AC51" s="56">
        <v>33</v>
      </c>
      <c r="AD51" s="56">
        <v>-51</v>
      </c>
      <c r="AE51" s="56">
        <v>9</v>
      </c>
      <c r="AF51" s="84">
        <f t="shared" si="14"/>
        <v>-25</v>
      </c>
      <c r="AG51" s="56">
        <v>-36</v>
      </c>
      <c r="AH51" s="56">
        <v>-6</v>
      </c>
      <c r="AI51" s="56">
        <v>-7</v>
      </c>
      <c r="AJ51" s="56">
        <v>22</v>
      </c>
      <c r="AK51" s="84">
        <f t="shared" si="15"/>
        <v>-27</v>
      </c>
      <c r="AL51" s="56">
        <v>-7</v>
      </c>
      <c r="AM51" s="56">
        <v>-28</v>
      </c>
      <c r="AN51" s="56">
        <v>22</v>
      </c>
      <c r="AO51" s="84">
        <f t="shared" si="16"/>
        <v>-13</v>
      </c>
      <c r="AP51" s="82"/>
    </row>
    <row r="52" spans="2:42" x14ac:dyDescent="0.35">
      <c r="B52" s="83" t="s">
        <v>190</v>
      </c>
      <c r="C52" s="56"/>
      <c r="D52" s="56"/>
      <c r="E52" s="56"/>
      <c r="F52" s="56"/>
      <c r="G52" s="84"/>
      <c r="H52" s="56"/>
      <c r="I52" s="56"/>
      <c r="J52" s="56"/>
      <c r="K52" s="56"/>
      <c r="L52" s="84"/>
      <c r="M52" s="56"/>
      <c r="N52" s="56"/>
      <c r="O52" s="56"/>
      <c r="P52" s="56"/>
      <c r="Q52" s="84"/>
      <c r="R52" s="56"/>
      <c r="S52" s="56"/>
      <c r="T52" s="56"/>
      <c r="U52" s="56"/>
      <c r="V52" s="84"/>
      <c r="W52" s="56"/>
      <c r="X52" s="56">
        <v>94.35495145971413</v>
      </c>
      <c r="Y52" s="56">
        <v>-8</v>
      </c>
      <c r="Z52" s="56">
        <v>39.078641523537897</v>
      </c>
      <c r="AA52" s="84">
        <v>125.43359298325203</v>
      </c>
      <c r="AB52" s="56">
        <v>-4</v>
      </c>
      <c r="AC52" s="56">
        <v>-5</v>
      </c>
      <c r="AD52" s="56">
        <v>-17</v>
      </c>
      <c r="AE52" s="56">
        <v>-4</v>
      </c>
      <c r="AF52" s="84">
        <f t="shared" si="14"/>
        <v>-30</v>
      </c>
      <c r="AG52" s="56">
        <v>-11</v>
      </c>
      <c r="AH52" s="56">
        <v>-41</v>
      </c>
      <c r="AI52" s="56">
        <v>-28</v>
      </c>
      <c r="AJ52" s="56">
        <v>-109</v>
      </c>
      <c r="AK52" s="84">
        <f t="shared" si="15"/>
        <v>-189</v>
      </c>
      <c r="AL52" s="56">
        <v>-17</v>
      </c>
      <c r="AM52" s="56">
        <v>4</v>
      </c>
      <c r="AN52" s="56">
        <v>12</v>
      </c>
      <c r="AO52" s="84">
        <f t="shared" si="16"/>
        <v>-1</v>
      </c>
      <c r="AP52" s="82"/>
    </row>
    <row r="53" spans="2:42" x14ac:dyDescent="0.35">
      <c r="B53" s="83" t="s">
        <v>92</v>
      </c>
      <c r="C53" s="56">
        <v>5</v>
      </c>
      <c r="D53" s="56">
        <f>52-C53</f>
        <v>47</v>
      </c>
      <c r="E53" s="56">
        <f>74-C53-D53</f>
        <v>22</v>
      </c>
      <c r="F53" s="56">
        <f t="shared" si="11"/>
        <v>-185</v>
      </c>
      <c r="G53" s="84">
        <v>-111</v>
      </c>
      <c r="H53" s="56">
        <v>252</v>
      </c>
      <c r="I53" s="56">
        <f>236-H53</f>
        <v>-16</v>
      </c>
      <c r="J53" s="56">
        <f>471-I53-H53</f>
        <v>235</v>
      </c>
      <c r="K53" s="56">
        <f t="shared" si="12"/>
        <v>-829</v>
      </c>
      <c r="L53" s="84">
        <v>-358</v>
      </c>
      <c r="M53" s="56">
        <v>-180</v>
      </c>
      <c r="N53" s="56">
        <f>52-M53</f>
        <v>232</v>
      </c>
      <c r="O53" s="56">
        <f>-38-M53-N53</f>
        <v>-90</v>
      </c>
      <c r="P53" s="56">
        <f t="shared" si="13"/>
        <v>88</v>
      </c>
      <c r="Q53" s="84">
        <v>50</v>
      </c>
      <c r="R53" s="56">
        <v>264</v>
      </c>
      <c r="S53" s="56">
        <v>-114</v>
      </c>
      <c r="T53" s="56">
        <v>-153</v>
      </c>
      <c r="U53" s="56">
        <v>260</v>
      </c>
      <c r="V53" s="84">
        <v>257</v>
      </c>
      <c r="W53" s="56">
        <v>4</v>
      </c>
      <c r="X53" s="56">
        <v>-33.230444036762037</v>
      </c>
      <c r="Y53" s="56">
        <v>-283</v>
      </c>
      <c r="Z53" s="56">
        <v>248.23044403676204</v>
      </c>
      <c r="AA53" s="84">
        <v>-64</v>
      </c>
      <c r="AB53" s="56">
        <v>-142</v>
      </c>
      <c r="AC53" s="56">
        <v>3</v>
      </c>
      <c r="AD53" s="56">
        <v>154</v>
      </c>
      <c r="AE53" s="56">
        <v>23</v>
      </c>
      <c r="AF53" s="84">
        <f t="shared" si="14"/>
        <v>38</v>
      </c>
      <c r="AG53" s="56">
        <v>351</v>
      </c>
      <c r="AH53" s="56">
        <v>-517</v>
      </c>
      <c r="AI53" s="56">
        <v>-118</v>
      </c>
      <c r="AJ53" s="56">
        <v>350</v>
      </c>
      <c r="AK53" s="84">
        <f t="shared" si="15"/>
        <v>66</v>
      </c>
      <c r="AL53" s="56">
        <v>-163</v>
      </c>
      <c r="AM53" s="56">
        <v>-68</v>
      </c>
      <c r="AN53" s="56">
        <v>-251</v>
      </c>
      <c r="AO53" s="84">
        <f t="shared" si="16"/>
        <v>-482</v>
      </c>
      <c r="AP53" s="82"/>
    </row>
    <row r="54" spans="2:42" x14ac:dyDescent="0.35">
      <c r="B54" s="77" t="s">
        <v>93</v>
      </c>
      <c r="C54" s="56"/>
      <c r="D54" s="56"/>
      <c r="E54" s="56"/>
      <c r="F54" s="56"/>
      <c r="G54" s="84"/>
      <c r="H54" s="56"/>
      <c r="I54" s="56"/>
      <c r="J54" s="56"/>
      <c r="K54" s="56"/>
      <c r="L54" s="84"/>
      <c r="M54" s="56"/>
      <c r="N54" s="56"/>
      <c r="O54" s="56"/>
      <c r="P54" s="56"/>
      <c r="Q54" s="84"/>
      <c r="R54" s="56"/>
      <c r="S54" s="56"/>
      <c r="T54" s="56"/>
      <c r="U54" s="56">
        <v>0</v>
      </c>
      <c r="V54" s="84"/>
      <c r="W54" s="56"/>
      <c r="X54" s="56"/>
      <c r="Y54" s="56"/>
      <c r="Z54" s="56"/>
      <c r="AA54" s="84"/>
      <c r="AB54" s="56"/>
      <c r="AC54" s="56"/>
      <c r="AD54" s="56"/>
      <c r="AE54" s="56"/>
      <c r="AF54" s="84"/>
      <c r="AG54" s="56"/>
      <c r="AH54" s="56"/>
      <c r="AI54" s="56"/>
      <c r="AJ54" s="56"/>
      <c r="AK54" s="84"/>
      <c r="AL54" s="56"/>
      <c r="AM54" s="56"/>
      <c r="AN54" s="56"/>
      <c r="AO54" s="84"/>
      <c r="AP54" s="82"/>
    </row>
    <row r="55" spans="2:42" x14ac:dyDescent="0.35">
      <c r="B55" s="83" t="s">
        <v>94</v>
      </c>
      <c r="C55" s="56">
        <v>-195</v>
      </c>
      <c r="D55" s="56">
        <f>-305-C55</f>
        <v>-110</v>
      </c>
      <c r="E55" s="56">
        <f>-423-C55-D55</f>
        <v>-118</v>
      </c>
      <c r="F55" s="56">
        <f t="shared" ref="F55:F61" si="17">G55-SUM(C55:E55)</f>
        <v>123</v>
      </c>
      <c r="G55" s="84">
        <v>-300</v>
      </c>
      <c r="H55" s="56">
        <v>-376</v>
      </c>
      <c r="I55" s="56">
        <f>83-H55</f>
        <v>459</v>
      </c>
      <c r="J55" s="56">
        <f>136-I55-H55</f>
        <v>53</v>
      </c>
      <c r="K55" s="56">
        <f>L55-SUM(H55:J55)</f>
        <v>494</v>
      </c>
      <c r="L55" s="84">
        <v>630</v>
      </c>
      <c r="M55" s="56">
        <v>-183</v>
      </c>
      <c r="N55" s="56">
        <f>449-M55</f>
        <v>632</v>
      </c>
      <c r="O55" s="56">
        <f>642-M55-N55</f>
        <v>193</v>
      </c>
      <c r="P55" s="56">
        <f>Q55-SUM(M55:O55)</f>
        <v>136</v>
      </c>
      <c r="Q55" s="84">
        <v>778</v>
      </c>
      <c r="R55" s="56">
        <v>-644</v>
      </c>
      <c r="S55" s="56">
        <v>130</v>
      </c>
      <c r="T55" s="56">
        <v>308</v>
      </c>
      <c r="U55" s="56">
        <v>498</v>
      </c>
      <c r="V55" s="84">
        <v>292</v>
      </c>
      <c r="W55" s="56">
        <v>-1313</v>
      </c>
      <c r="X55" s="56">
        <v>-190.87871357000313</v>
      </c>
      <c r="Y55" s="56">
        <v>695</v>
      </c>
      <c r="Z55" s="56">
        <v>697.65828574673924</v>
      </c>
      <c r="AA55" s="84">
        <v>-111.22042782326389</v>
      </c>
      <c r="AB55" s="56">
        <v>-575</v>
      </c>
      <c r="AC55" s="56">
        <v>556</v>
      </c>
      <c r="AD55" s="56">
        <v>224</v>
      </c>
      <c r="AE55" s="56">
        <v>1437</v>
      </c>
      <c r="AF55" s="84">
        <f t="shared" si="14"/>
        <v>1642</v>
      </c>
      <c r="AG55" s="56">
        <v>414</v>
      </c>
      <c r="AH55" s="56">
        <v>118</v>
      </c>
      <c r="AI55" s="56">
        <v>170</v>
      </c>
      <c r="AJ55" s="56">
        <v>488</v>
      </c>
      <c r="AK55" s="84">
        <f t="shared" ref="AK55:AK61" si="18">SUM(AG55:AJ55)</f>
        <v>1190</v>
      </c>
      <c r="AL55" s="56">
        <v>-1159</v>
      </c>
      <c r="AM55" s="56">
        <v>105</v>
      </c>
      <c r="AN55" s="56">
        <v>223</v>
      </c>
      <c r="AO55" s="84">
        <f t="shared" ref="AO55:AO62" si="19">SUM(AL55:AN55)</f>
        <v>-831</v>
      </c>
      <c r="AP55" s="82"/>
    </row>
    <row r="56" spans="2:42" x14ac:dyDescent="0.35">
      <c r="B56" s="83" t="s">
        <v>95</v>
      </c>
      <c r="C56" s="56">
        <v>-259</v>
      </c>
      <c r="D56" s="56">
        <f>-195-C56</f>
        <v>64</v>
      </c>
      <c r="E56" s="56">
        <f>-59-D56-C56</f>
        <v>136</v>
      </c>
      <c r="F56" s="56">
        <f t="shared" si="17"/>
        <v>39</v>
      </c>
      <c r="G56" s="84">
        <f>-20</f>
        <v>-20</v>
      </c>
      <c r="H56" s="56">
        <v>-322</v>
      </c>
      <c r="I56" s="56">
        <f>-185-H56</f>
        <v>137</v>
      </c>
      <c r="J56" s="56">
        <f>-27-H56-I56</f>
        <v>158</v>
      </c>
      <c r="K56" s="56">
        <f>L56-SUM(H56:J56)</f>
        <v>74</v>
      </c>
      <c r="L56" s="84">
        <v>47</v>
      </c>
      <c r="M56" s="56">
        <v>-340</v>
      </c>
      <c r="N56" s="56">
        <f>-153-M56</f>
        <v>187</v>
      </c>
      <c r="O56" s="56">
        <f>-8-M56-N56</f>
        <v>145</v>
      </c>
      <c r="P56" s="56">
        <f>Q56-SUM(M56:O56)</f>
        <v>-42</v>
      </c>
      <c r="Q56" s="84">
        <v>-50</v>
      </c>
      <c r="R56" s="56">
        <v>-258</v>
      </c>
      <c r="S56" s="56">
        <v>114</v>
      </c>
      <c r="T56" s="56">
        <v>138</v>
      </c>
      <c r="U56" s="56">
        <v>-3</v>
      </c>
      <c r="V56" s="84">
        <v>-9</v>
      </c>
      <c r="W56" s="56">
        <v>-225</v>
      </c>
      <c r="X56" s="56">
        <v>185.50871809036119</v>
      </c>
      <c r="Y56" s="56">
        <v>229</v>
      </c>
      <c r="Z56" s="56">
        <v>60.620352443599472</v>
      </c>
      <c r="AA56" s="84">
        <v>250.12907053396066</v>
      </c>
      <c r="AB56" s="56">
        <v>-320</v>
      </c>
      <c r="AC56" s="56">
        <v>179</v>
      </c>
      <c r="AD56" s="56">
        <v>250</v>
      </c>
      <c r="AE56" s="56">
        <v>121</v>
      </c>
      <c r="AF56" s="84">
        <f t="shared" si="14"/>
        <v>230</v>
      </c>
      <c r="AG56" s="56">
        <v>-379</v>
      </c>
      <c r="AH56" s="56">
        <v>162</v>
      </c>
      <c r="AI56" s="56">
        <v>190</v>
      </c>
      <c r="AJ56" s="56">
        <v>37</v>
      </c>
      <c r="AK56" s="84">
        <f t="shared" si="18"/>
        <v>10</v>
      </c>
      <c r="AL56" s="56">
        <v>-321</v>
      </c>
      <c r="AM56" s="56">
        <v>149</v>
      </c>
      <c r="AN56" s="56">
        <v>248</v>
      </c>
      <c r="AO56" s="84">
        <f t="shared" si="19"/>
        <v>76</v>
      </c>
      <c r="AP56" s="82"/>
    </row>
    <row r="57" spans="2:42" x14ac:dyDescent="0.35">
      <c r="B57" s="83" t="s">
        <v>96</v>
      </c>
      <c r="C57" s="56">
        <v>43</v>
      </c>
      <c r="D57" s="56">
        <f>85-C57</f>
        <v>42</v>
      </c>
      <c r="E57" s="56">
        <f>96-C57-D57</f>
        <v>11</v>
      </c>
      <c r="F57" s="56">
        <f t="shared" si="17"/>
        <v>9</v>
      </c>
      <c r="G57" s="84">
        <v>105</v>
      </c>
      <c r="H57" s="56">
        <v>12</v>
      </c>
      <c r="I57" s="56">
        <f>-23-H57</f>
        <v>-35</v>
      </c>
      <c r="J57" s="56">
        <f>-58-H57-I57</f>
        <v>-35</v>
      </c>
      <c r="K57" s="56">
        <f>L57-SUM(H57:J57)</f>
        <v>-26</v>
      </c>
      <c r="L57" s="84">
        <v>-84</v>
      </c>
      <c r="M57" s="56">
        <v>-14</v>
      </c>
      <c r="N57" s="56">
        <f>123-M57</f>
        <v>137</v>
      </c>
      <c r="O57" s="56">
        <f>189-M57-N57</f>
        <v>66</v>
      </c>
      <c r="P57" s="56">
        <f>Q57-SUM(M57:O57)</f>
        <v>-202</v>
      </c>
      <c r="Q57" s="84">
        <v>-13</v>
      </c>
      <c r="R57" s="56">
        <v>-2</v>
      </c>
      <c r="S57" s="56">
        <v>-13</v>
      </c>
      <c r="T57" s="56">
        <v>2</v>
      </c>
      <c r="U57" s="56">
        <v>-4</v>
      </c>
      <c r="V57" s="84">
        <v>-17</v>
      </c>
      <c r="W57" s="56">
        <v>-3</v>
      </c>
      <c r="X57" s="56">
        <v>-16</v>
      </c>
      <c r="Y57" s="56">
        <v>28</v>
      </c>
      <c r="Z57" s="56">
        <v>-17</v>
      </c>
      <c r="AA57" s="84">
        <v>-8</v>
      </c>
      <c r="AB57" s="56">
        <v>8</v>
      </c>
      <c r="AC57" s="56">
        <v>-20</v>
      </c>
      <c r="AD57" s="56">
        <v>-24</v>
      </c>
      <c r="AE57" s="56">
        <v>194</v>
      </c>
      <c r="AF57" s="84">
        <f t="shared" si="14"/>
        <v>158</v>
      </c>
      <c r="AG57" s="56">
        <v>-26</v>
      </c>
      <c r="AH57" s="56">
        <v>27</v>
      </c>
      <c r="AI57" s="56">
        <v>36</v>
      </c>
      <c r="AJ57" s="56">
        <v>27</v>
      </c>
      <c r="AK57" s="84">
        <f t="shared" si="18"/>
        <v>64</v>
      </c>
      <c r="AL57" s="56">
        <v>8</v>
      </c>
      <c r="AM57" s="56">
        <v>-20</v>
      </c>
      <c r="AN57" s="56">
        <v>10</v>
      </c>
      <c r="AO57" s="84">
        <f t="shared" si="19"/>
        <v>-2</v>
      </c>
      <c r="AP57" s="82"/>
    </row>
    <row r="58" spans="2:42" x14ac:dyDescent="0.35">
      <c r="B58" s="83" t="s">
        <v>97</v>
      </c>
      <c r="C58" s="56">
        <v>-89</v>
      </c>
      <c r="D58" s="56">
        <f>-170-C58</f>
        <v>-81</v>
      </c>
      <c r="E58" s="56">
        <f>-220-C58-D58</f>
        <v>-50</v>
      </c>
      <c r="F58" s="56">
        <f t="shared" si="17"/>
        <v>118</v>
      </c>
      <c r="G58" s="84">
        <v>-102</v>
      </c>
      <c r="H58" s="56">
        <v>91</v>
      </c>
      <c r="I58" s="56">
        <f>121-H58</f>
        <v>30</v>
      </c>
      <c r="J58" s="56">
        <f>374-I58-H58</f>
        <v>253</v>
      </c>
      <c r="K58" s="56">
        <f>L58-SUM(H58:J58)</f>
        <v>-214</v>
      </c>
      <c r="L58" s="84">
        <v>160</v>
      </c>
      <c r="M58" s="56">
        <v>-169</v>
      </c>
      <c r="N58" s="56">
        <f>-20-M58</f>
        <v>149</v>
      </c>
      <c r="O58" s="56">
        <f>71-M58-N58</f>
        <v>91</v>
      </c>
      <c r="P58" s="56">
        <f>Q58-SUM(M58:O58)</f>
        <v>-40</v>
      </c>
      <c r="Q58" s="84">
        <v>31</v>
      </c>
      <c r="R58" s="56">
        <v>10</v>
      </c>
      <c r="S58" s="56">
        <v>3</v>
      </c>
      <c r="T58" s="56">
        <v>9</v>
      </c>
      <c r="U58" s="56">
        <v>-73</v>
      </c>
      <c r="V58" s="84">
        <v>-51</v>
      </c>
      <c r="W58" s="56">
        <v>-11</v>
      </c>
      <c r="X58" s="56">
        <v>78.602603146200977</v>
      </c>
      <c r="Y58" s="56">
        <v>41</v>
      </c>
      <c r="Z58" s="56">
        <v>-338.95278311062259</v>
      </c>
      <c r="AA58" s="84">
        <v>-230.35017996442161</v>
      </c>
      <c r="AB58" s="56">
        <v>147</v>
      </c>
      <c r="AC58" s="56">
        <v>-4</v>
      </c>
      <c r="AD58" s="56">
        <v>2</v>
      </c>
      <c r="AE58" s="56">
        <v>207</v>
      </c>
      <c r="AF58" s="84">
        <f t="shared" si="14"/>
        <v>352</v>
      </c>
      <c r="AG58" s="56">
        <v>-505</v>
      </c>
      <c r="AH58" s="56">
        <v>377</v>
      </c>
      <c r="AI58" s="56">
        <v>-177</v>
      </c>
      <c r="AJ58" s="56">
        <v>-276</v>
      </c>
      <c r="AK58" s="84">
        <f t="shared" si="18"/>
        <v>-581</v>
      </c>
      <c r="AL58" s="56">
        <v>-171</v>
      </c>
      <c r="AM58" s="56">
        <v>-48</v>
      </c>
      <c r="AN58" s="56">
        <v>142</v>
      </c>
      <c r="AO58" s="84">
        <f t="shared" si="19"/>
        <v>-77</v>
      </c>
      <c r="AP58" s="82"/>
    </row>
    <row r="59" spans="2:42" x14ac:dyDescent="0.35">
      <c r="B59" s="83" t="s">
        <v>191</v>
      </c>
      <c r="C59" s="56">
        <v>0</v>
      </c>
      <c r="D59" s="56">
        <v>0</v>
      </c>
      <c r="E59" s="56">
        <v>0</v>
      </c>
      <c r="F59" s="56">
        <f t="shared" si="17"/>
        <v>0</v>
      </c>
      <c r="G59" s="84">
        <v>0</v>
      </c>
      <c r="H59" s="56">
        <v>0</v>
      </c>
      <c r="I59" s="56">
        <v>0</v>
      </c>
      <c r="J59" s="56">
        <v>0</v>
      </c>
      <c r="K59" s="56">
        <f t="shared" ref="K59" si="20">L59-SUM(H59:J59)</f>
        <v>0</v>
      </c>
      <c r="L59" s="84">
        <v>0</v>
      </c>
      <c r="M59" s="56">
        <v>0</v>
      </c>
      <c r="N59" s="56">
        <v>0</v>
      </c>
      <c r="O59" s="56">
        <v>0</v>
      </c>
      <c r="P59" s="56">
        <f t="shared" ref="P59" si="21">Q59-SUM(M59:O59)</f>
        <v>0</v>
      </c>
      <c r="Q59" s="84">
        <v>0</v>
      </c>
      <c r="R59" s="56">
        <v>0</v>
      </c>
      <c r="S59" s="56">
        <v>0</v>
      </c>
      <c r="T59" s="56">
        <v>0</v>
      </c>
      <c r="U59" s="56">
        <v>0</v>
      </c>
      <c r="V59" s="84">
        <v>0</v>
      </c>
      <c r="W59" s="56">
        <v>0</v>
      </c>
      <c r="X59" s="56">
        <v>171.2240099498423</v>
      </c>
      <c r="Y59" s="56">
        <v>-155</v>
      </c>
      <c r="Z59" s="56">
        <v>40.334638809806378</v>
      </c>
      <c r="AA59" s="84">
        <v>56.558648759648676</v>
      </c>
      <c r="AB59" s="56">
        <v>32</v>
      </c>
      <c r="AC59" s="56">
        <v>50</v>
      </c>
      <c r="AD59" s="56">
        <v>3</v>
      </c>
      <c r="AE59" s="56">
        <v>-35</v>
      </c>
      <c r="AF59" s="84">
        <f t="shared" si="14"/>
        <v>50</v>
      </c>
      <c r="AG59" s="56">
        <v>-36</v>
      </c>
      <c r="AH59" s="56">
        <v>-6</v>
      </c>
      <c r="AI59" s="56">
        <v>26</v>
      </c>
      <c r="AJ59" s="56">
        <v>11</v>
      </c>
      <c r="AK59" s="84">
        <f t="shared" si="18"/>
        <v>-5</v>
      </c>
      <c r="AL59" s="56">
        <v>-65</v>
      </c>
      <c r="AM59" s="56">
        <v>54</v>
      </c>
      <c r="AN59" s="56">
        <v>-28</v>
      </c>
      <c r="AO59" s="84">
        <f t="shared" si="19"/>
        <v>-39</v>
      </c>
      <c r="AP59" s="82"/>
    </row>
    <row r="60" spans="2:42" x14ac:dyDescent="0.35">
      <c r="B60" s="83" t="s">
        <v>235</v>
      </c>
      <c r="C60" s="56">
        <v>0</v>
      </c>
      <c r="D60" s="56">
        <v>0</v>
      </c>
      <c r="E60" s="56">
        <v>0</v>
      </c>
      <c r="F60" s="56">
        <v>0</v>
      </c>
      <c r="G60" s="84">
        <v>0</v>
      </c>
      <c r="H60" s="56">
        <v>0</v>
      </c>
      <c r="I60" s="56">
        <v>0</v>
      </c>
      <c r="J60" s="56">
        <v>0</v>
      </c>
      <c r="K60" s="56">
        <v>0</v>
      </c>
      <c r="L60" s="84">
        <v>0</v>
      </c>
      <c r="M60" s="56">
        <v>0</v>
      </c>
      <c r="N60" s="56">
        <v>0</v>
      </c>
      <c r="O60" s="56">
        <v>0</v>
      </c>
      <c r="P60" s="56">
        <v>0</v>
      </c>
      <c r="Q60" s="84">
        <v>0</v>
      </c>
      <c r="R60" s="56">
        <v>0</v>
      </c>
      <c r="S60" s="56">
        <v>0</v>
      </c>
      <c r="T60" s="56">
        <v>0</v>
      </c>
      <c r="U60" s="56">
        <v>0</v>
      </c>
      <c r="V60" s="84">
        <v>0</v>
      </c>
      <c r="W60" s="56">
        <v>0</v>
      </c>
      <c r="X60" s="56">
        <v>0</v>
      </c>
      <c r="Y60" s="56">
        <v>0</v>
      </c>
      <c r="Z60" s="56">
        <v>0</v>
      </c>
      <c r="AA60" s="84">
        <v>0</v>
      </c>
      <c r="AB60" s="56">
        <v>0</v>
      </c>
      <c r="AC60" s="56">
        <v>0</v>
      </c>
      <c r="AD60" s="56">
        <v>0</v>
      </c>
      <c r="AE60" s="56">
        <v>0</v>
      </c>
      <c r="AF60" s="84">
        <v>0</v>
      </c>
      <c r="AG60" s="56">
        <v>69</v>
      </c>
      <c r="AH60" s="56">
        <v>-105</v>
      </c>
      <c r="AI60" s="56">
        <v>-81</v>
      </c>
      <c r="AJ60" s="56">
        <v>146</v>
      </c>
      <c r="AK60" s="84">
        <f t="shared" si="18"/>
        <v>29</v>
      </c>
      <c r="AL60" s="56">
        <v>-37</v>
      </c>
      <c r="AM60" s="56">
        <v>-108</v>
      </c>
      <c r="AN60" s="56">
        <v>-7</v>
      </c>
      <c r="AO60" s="84">
        <f t="shared" si="19"/>
        <v>-152</v>
      </c>
      <c r="AP60" s="82"/>
    </row>
    <row r="61" spans="2:42" x14ac:dyDescent="0.35">
      <c r="B61" s="83" t="s">
        <v>98</v>
      </c>
      <c r="C61" s="56">
        <f>-253-77</f>
        <v>-330</v>
      </c>
      <c r="D61" s="56">
        <f>-607-C61</f>
        <v>-277</v>
      </c>
      <c r="E61" s="56">
        <f>-615-C61-D61</f>
        <v>-8</v>
      </c>
      <c r="F61" s="56">
        <f t="shared" si="17"/>
        <v>919</v>
      </c>
      <c r="G61" s="84">
        <v>304</v>
      </c>
      <c r="H61" s="56">
        <f>-58-326</f>
        <v>-384</v>
      </c>
      <c r="I61" s="56">
        <f>-734-H61</f>
        <v>-350</v>
      </c>
      <c r="J61" s="56">
        <f>-184-I61-H61-90-584</f>
        <v>-124</v>
      </c>
      <c r="K61" s="56">
        <f>L61-SUM(H61:J61)</f>
        <v>1029</v>
      </c>
      <c r="L61" s="84">
        <v>171</v>
      </c>
      <c r="M61" s="56">
        <v>314</v>
      </c>
      <c r="N61" s="56">
        <f>-34-M61</f>
        <v>-348</v>
      </c>
      <c r="O61" s="56">
        <f>445-M61-N61</f>
        <v>479</v>
      </c>
      <c r="P61" s="56">
        <f>Q61-SUM(M61:O61)</f>
        <v>-245</v>
      </c>
      <c r="Q61" s="84">
        <v>200</v>
      </c>
      <c r="R61" s="56">
        <v>-403</v>
      </c>
      <c r="S61" s="56">
        <v>42</v>
      </c>
      <c r="T61" s="56">
        <v>113</v>
      </c>
      <c r="U61" s="56">
        <v>-254</v>
      </c>
      <c r="V61" s="84">
        <v>-502</v>
      </c>
      <c r="W61" s="56">
        <v>-183</v>
      </c>
      <c r="X61" s="56">
        <v>-191.03073288526019</v>
      </c>
      <c r="Y61" s="56">
        <v>443</v>
      </c>
      <c r="Z61" s="56">
        <v>418.33706459712454</v>
      </c>
      <c r="AA61" s="84">
        <v>487.30633171186435</v>
      </c>
      <c r="AB61" s="56">
        <v>-50</v>
      </c>
      <c r="AC61" s="56">
        <v>308</v>
      </c>
      <c r="AD61" s="56">
        <v>266</v>
      </c>
      <c r="AE61" s="56">
        <v>730</v>
      </c>
      <c r="AF61" s="84">
        <f t="shared" si="14"/>
        <v>1254</v>
      </c>
      <c r="AG61" s="56">
        <v>-224</v>
      </c>
      <c r="AH61" s="56">
        <v>-262</v>
      </c>
      <c r="AI61" s="56">
        <v>-48</v>
      </c>
      <c r="AJ61" s="56">
        <v>169</v>
      </c>
      <c r="AK61" s="84">
        <f t="shared" si="18"/>
        <v>-365</v>
      </c>
      <c r="AL61" s="56">
        <v>-112</v>
      </c>
      <c r="AM61" s="56">
        <v>-20</v>
      </c>
      <c r="AN61" s="56">
        <v>514</v>
      </c>
      <c r="AO61" s="84">
        <f t="shared" si="19"/>
        <v>382</v>
      </c>
      <c r="AP61" s="82"/>
    </row>
    <row r="62" spans="2:42" s="82" customFormat="1" x14ac:dyDescent="0.35">
      <c r="B62" s="77" t="s">
        <v>99</v>
      </c>
      <c r="C62" s="58">
        <f t="shared" ref="C62:Q62" si="22">SUM(C44:C61)</f>
        <v>1735</v>
      </c>
      <c r="D62" s="58">
        <f t="shared" si="22"/>
        <v>1589</v>
      </c>
      <c r="E62" s="58">
        <f t="shared" si="22"/>
        <v>424</v>
      </c>
      <c r="F62" s="58">
        <f t="shared" si="22"/>
        <v>3314</v>
      </c>
      <c r="G62" s="81">
        <f t="shared" si="22"/>
        <v>7062</v>
      </c>
      <c r="H62" s="58">
        <f t="shared" si="22"/>
        <v>-11</v>
      </c>
      <c r="I62" s="58">
        <f t="shared" si="22"/>
        <v>777</v>
      </c>
      <c r="J62" s="58">
        <f t="shared" si="22"/>
        <v>1166</v>
      </c>
      <c r="K62" s="58">
        <f t="shared" si="22"/>
        <v>2425</v>
      </c>
      <c r="L62" s="81">
        <f t="shared" si="22"/>
        <v>4357</v>
      </c>
      <c r="M62" s="58">
        <f t="shared" si="22"/>
        <v>0</v>
      </c>
      <c r="N62" s="58">
        <f t="shared" si="22"/>
        <v>1443</v>
      </c>
      <c r="O62" s="58">
        <f t="shared" si="22"/>
        <v>1023</v>
      </c>
      <c r="P62" s="58">
        <f t="shared" si="22"/>
        <v>1624</v>
      </c>
      <c r="Q62" s="81">
        <f t="shared" si="22"/>
        <v>4090</v>
      </c>
      <c r="R62" s="58">
        <f t="shared" ref="R62" si="23">SUM(R44:R61)</f>
        <v>-1458</v>
      </c>
      <c r="S62" s="58">
        <f t="shared" ref="S62:T62" si="24">SUM(S44:S61)</f>
        <v>-280</v>
      </c>
      <c r="T62" s="58">
        <f t="shared" si="24"/>
        <v>2691</v>
      </c>
      <c r="U62" s="58">
        <f>SUM(U44:U61)</f>
        <v>1585</v>
      </c>
      <c r="V62" s="81">
        <f>SUM(V44:V61)</f>
        <v>2538</v>
      </c>
      <c r="W62" s="58">
        <f t="shared" ref="W62:X62" si="25">SUM(W44:W61)</f>
        <v>-1268</v>
      </c>
      <c r="X62" s="58">
        <f t="shared" si="25"/>
        <v>1091.27087803778</v>
      </c>
      <c r="Y62" s="58">
        <f t="shared" ref="Y62" si="26">SUM(Y44:Y61)</f>
        <v>3269</v>
      </c>
      <c r="Z62" s="58">
        <f>SUM(Z44:Z61)</f>
        <v>3067.3546414287152</v>
      </c>
      <c r="AA62" s="81">
        <f>SUM(AA44:AA61)</f>
        <v>6159.6255194664946</v>
      </c>
      <c r="AB62" s="58">
        <f>SUM(AB44:AB61)</f>
        <v>1621</v>
      </c>
      <c r="AC62" s="58">
        <f>SUM(AC44:AC61)</f>
        <v>2404</v>
      </c>
      <c r="AD62" s="58">
        <f t="shared" ref="AD62:AE62" si="27">SUM(AD44:AD61)</f>
        <v>3814</v>
      </c>
      <c r="AE62" s="58">
        <f t="shared" si="27"/>
        <v>5917</v>
      </c>
      <c r="AF62" s="81">
        <f>SUM(AF44:AF61)</f>
        <v>13756</v>
      </c>
      <c r="AG62" s="58">
        <f t="shared" ref="AG62" si="28">SUM(AG44:AG61)</f>
        <v>-231</v>
      </c>
      <c r="AH62" s="58">
        <f t="shared" ref="AH62:AJ62" si="29">SUM(AH44:AH61)</f>
        <v>2307</v>
      </c>
      <c r="AI62" s="58">
        <f t="shared" si="29"/>
        <v>3286</v>
      </c>
      <c r="AJ62" s="58">
        <f t="shared" si="29"/>
        <v>4030</v>
      </c>
      <c r="AK62" s="81">
        <f>SUM(AK44:AK61)</f>
        <v>9392</v>
      </c>
      <c r="AL62" s="58">
        <f t="shared" ref="AL62:AN62" si="30">SUM(AL44:AL61)</f>
        <v>-2186</v>
      </c>
      <c r="AM62" s="58">
        <f t="shared" si="30"/>
        <v>2737</v>
      </c>
      <c r="AN62" s="58">
        <f t="shared" si="30"/>
        <v>3546</v>
      </c>
      <c r="AO62" s="81">
        <f t="shared" si="19"/>
        <v>4097</v>
      </c>
    </row>
    <row r="63" spans="2:42" x14ac:dyDescent="0.35">
      <c r="B63" s="77"/>
      <c r="C63" s="56"/>
      <c r="D63" s="56"/>
      <c r="E63" s="56"/>
      <c r="F63" s="56"/>
      <c r="G63" s="84"/>
      <c r="H63" s="56"/>
      <c r="I63" s="56"/>
      <c r="J63" s="56"/>
      <c r="K63" s="56"/>
      <c r="L63" s="84"/>
      <c r="M63" s="56"/>
      <c r="N63" s="56"/>
      <c r="O63" s="56"/>
      <c r="P63" s="56"/>
      <c r="Q63" s="84"/>
      <c r="R63" s="56"/>
      <c r="S63" s="56"/>
      <c r="T63" s="56"/>
      <c r="U63" s="56"/>
      <c r="V63" s="84"/>
      <c r="W63" s="56"/>
      <c r="X63" s="56"/>
      <c r="Y63" s="56"/>
      <c r="Z63" s="56"/>
      <c r="AA63" s="84"/>
      <c r="AB63" s="56"/>
      <c r="AC63" s="56"/>
      <c r="AD63" s="56"/>
      <c r="AE63" s="56"/>
      <c r="AF63" s="84"/>
      <c r="AG63" s="56"/>
      <c r="AH63" s="56"/>
      <c r="AI63" s="56"/>
      <c r="AJ63" s="56"/>
      <c r="AK63" s="84"/>
      <c r="AL63" s="56"/>
      <c r="AM63" s="56"/>
      <c r="AN63" s="56"/>
      <c r="AO63" s="84"/>
      <c r="AP63" s="82"/>
    </row>
    <row r="64" spans="2:42" x14ac:dyDescent="0.35">
      <c r="B64" s="83" t="s">
        <v>100</v>
      </c>
      <c r="C64" s="56">
        <v>-332</v>
      </c>
      <c r="D64" s="56">
        <f>-946-C64</f>
        <v>-614</v>
      </c>
      <c r="E64" s="56">
        <f>-1228-C64-D64</f>
        <v>-282</v>
      </c>
      <c r="F64" s="56">
        <f t="shared" ref="F64:F65" si="31">G64-SUM(C64:E64)</f>
        <v>-551</v>
      </c>
      <c r="G64" s="84">
        <v>-1779</v>
      </c>
      <c r="H64" s="56">
        <v>-325</v>
      </c>
      <c r="I64" s="56">
        <f>-728-H64</f>
        <v>-403</v>
      </c>
      <c r="J64" s="56">
        <f>-1195-I64-H64</f>
        <v>-467</v>
      </c>
      <c r="K64" s="56">
        <f>L64-SUM(H64:J64)</f>
        <v>-363</v>
      </c>
      <c r="L64" s="84">
        <v>-1558</v>
      </c>
      <c r="M64" s="56">
        <v>-291</v>
      </c>
      <c r="N64" s="56">
        <f>-725-M64</f>
        <v>-434</v>
      </c>
      <c r="O64" s="56">
        <f>-1002-M64-N64</f>
        <v>-277</v>
      </c>
      <c r="P64" s="56">
        <f>Q64-SUM(M64:O64)</f>
        <v>-459</v>
      </c>
      <c r="Q64" s="84">
        <v>-1461</v>
      </c>
      <c r="R64" s="56">
        <v>-293</v>
      </c>
      <c r="S64" s="56">
        <v>-363</v>
      </c>
      <c r="T64" s="56">
        <v>-227</v>
      </c>
      <c r="U64" s="56">
        <v>-369</v>
      </c>
      <c r="V64" s="84">
        <v>-1252</v>
      </c>
      <c r="W64" s="56">
        <v>-166</v>
      </c>
      <c r="X64" s="56">
        <v>-456</v>
      </c>
      <c r="Y64" s="56">
        <v>-251</v>
      </c>
      <c r="Z64" s="56">
        <v>-447</v>
      </c>
      <c r="AA64" s="84">
        <v>-1320</v>
      </c>
      <c r="AB64" s="56">
        <v>-335</v>
      </c>
      <c r="AC64" s="56">
        <v>-391</v>
      </c>
      <c r="AD64" s="56">
        <v>-291</v>
      </c>
      <c r="AE64" s="56">
        <v>-408</v>
      </c>
      <c r="AF64" s="84">
        <f t="shared" ref="AF64:AF65" si="32">SUM(AB64:AE64)</f>
        <v>-1425</v>
      </c>
      <c r="AG64" s="56">
        <v>-338</v>
      </c>
      <c r="AH64" s="56">
        <v>-437</v>
      </c>
      <c r="AI64" s="56">
        <v>-406</v>
      </c>
      <c r="AJ64" s="56">
        <v>-454</v>
      </c>
      <c r="AK64" s="84">
        <f t="shared" ref="AK64:AK65" si="33">SUM(AG64:AJ64)</f>
        <v>-1635</v>
      </c>
      <c r="AL64" s="56">
        <v>-387</v>
      </c>
      <c r="AM64" s="56">
        <v>-483</v>
      </c>
      <c r="AN64" s="56">
        <v>-419</v>
      </c>
      <c r="AO64" s="84">
        <f t="shared" ref="AO64:AO66" si="34">SUM(AL64:AN64)</f>
        <v>-1289</v>
      </c>
      <c r="AP64" s="82"/>
    </row>
    <row r="65" spans="2:42" x14ac:dyDescent="0.35">
      <c r="B65" s="83" t="s">
        <v>101</v>
      </c>
      <c r="C65" s="56">
        <v>-149</v>
      </c>
      <c r="D65" s="56">
        <f>-239-C65</f>
        <v>-90</v>
      </c>
      <c r="E65" s="56">
        <f>-347-C65-D65</f>
        <v>-108</v>
      </c>
      <c r="F65" s="56">
        <f t="shared" si="31"/>
        <v>-144</v>
      </c>
      <c r="G65" s="84">
        <v>-491</v>
      </c>
      <c r="H65" s="56">
        <v>-152</v>
      </c>
      <c r="I65" s="56">
        <f>-297-H65</f>
        <v>-145</v>
      </c>
      <c r="J65" s="56">
        <f>-408-I65-H65</f>
        <v>-111</v>
      </c>
      <c r="K65" s="56">
        <f>L65-SUM(H65:J65)</f>
        <v>-280</v>
      </c>
      <c r="L65" s="84">
        <v>-688</v>
      </c>
      <c r="M65" s="56">
        <v>-239</v>
      </c>
      <c r="N65" s="56">
        <f>-421-M65</f>
        <v>-182</v>
      </c>
      <c r="O65" s="56">
        <f>-552-M65-N65</f>
        <v>-131</v>
      </c>
      <c r="P65" s="56">
        <f>Q65-SUM(M65:O65)</f>
        <v>-62</v>
      </c>
      <c r="Q65" s="84">
        <v>-614</v>
      </c>
      <c r="R65" s="56">
        <v>35</v>
      </c>
      <c r="S65" s="56">
        <v>-38</v>
      </c>
      <c r="T65" s="56">
        <v>-89</v>
      </c>
      <c r="U65" s="56">
        <v>-97</v>
      </c>
      <c r="V65" s="84">
        <v>-189</v>
      </c>
      <c r="W65" s="56">
        <v>-137</v>
      </c>
      <c r="X65" s="56">
        <v>-73</v>
      </c>
      <c r="Y65" s="56">
        <v>-61</v>
      </c>
      <c r="Z65" s="56">
        <v>-136</v>
      </c>
      <c r="AA65" s="84">
        <v>-407</v>
      </c>
      <c r="AB65" s="56">
        <v>-546</v>
      </c>
      <c r="AC65" s="56">
        <v>-146</v>
      </c>
      <c r="AD65" s="56">
        <v>-226</v>
      </c>
      <c r="AE65" s="56">
        <v>-245</v>
      </c>
      <c r="AF65" s="84">
        <f t="shared" si="32"/>
        <v>-1163</v>
      </c>
      <c r="AG65" s="56">
        <v>-581</v>
      </c>
      <c r="AH65" s="56">
        <v>-191</v>
      </c>
      <c r="AI65" s="56">
        <v>-314</v>
      </c>
      <c r="AJ65" s="56">
        <v>62</v>
      </c>
      <c r="AK65" s="84">
        <f t="shared" si="33"/>
        <v>-1024</v>
      </c>
      <c r="AL65" s="56">
        <v>-247</v>
      </c>
      <c r="AM65" s="56">
        <v>-113</v>
      </c>
      <c r="AN65" s="56">
        <v>-153</v>
      </c>
      <c r="AO65" s="84">
        <f t="shared" si="34"/>
        <v>-513</v>
      </c>
      <c r="AP65" s="82"/>
    </row>
    <row r="66" spans="2:42" s="82" customFormat="1" x14ac:dyDescent="0.35">
      <c r="B66" s="77" t="s">
        <v>102</v>
      </c>
      <c r="C66" s="61">
        <f t="shared" ref="C66:R66" si="35">SUM(C62:C65)</f>
        <v>1254</v>
      </c>
      <c r="D66" s="61">
        <f t="shared" si="35"/>
        <v>885</v>
      </c>
      <c r="E66" s="61">
        <f t="shared" si="35"/>
        <v>34</v>
      </c>
      <c r="F66" s="61">
        <f t="shared" si="35"/>
        <v>2619</v>
      </c>
      <c r="G66" s="87">
        <f t="shared" si="35"/>
        <v>4792</v>
      </c>
      <c r="H66" s="66">
        <f t="shared" si="35"/>
        <v>-488</v>
      </c>
      <c r="I66" s="61">
        <f t="shared" si="35"/>
        <v>229</v>
      </c>
      <c r="J66" s="61">
        <f t="shared" si="35"/>
        <v>588</v>
      </c>
      <c r="K66" s="61">
        <f t="shared" si="35"/>
        <v>1782</v>
      </c>
      <c r="L66" s="87">
        <f t="shared" si="35"/>
        <v>2111</v>
      </c>
      <c r="M66" s="66">
        <f t="shared" si="35"/>
        <v>-530</v>
      </c>
      <c r="N66" s="61">
        <f t="shared" si="35"/>
        <v>827</v>
      </c>
      <c r="O66" s="61">
        <f t="shared" si="35"/>
        <v>615</v>
      </c>
      <c r="P66" s="61">
        <f t="shared" si="35"/>
        <v>1103</v>
      </c>
      <c r="Q66" s="87">
        <f t="shared" si="35"/>
        <v>2015</v>
      </c>
      <c r="R66" s="65">
        <f t="shared" si="35"/>
        <v>-1716</v>
      </c>
      <c r="S66" s="65">
        <f t="shared" ref="S66:T66" si="36">SUM(S62:S65)</f>
        <v>-681</v>
      </c>
      <c r="T66" s="65">
        <f t="shared" si="36"/>
        <v>2375</v>
      </c>
      <c r="U66" s="65">
        <f t="shared" si="7"/>
        <v>1119</v>
      </c>
      <c r="V66" s="87">
        <f t="shared" ref="V66" si="37">SUM(V62:V65)</f>
        <v>1097</v>
      </c>
      <c r="W66" s="65">
        <f t="shared" ref="W66:X66" si="38">SUM(W62:W65)</f>
        <v>-1571</v>
      </c>
      <c r="X66" s="65">
        <f t="shared" si="38"/>
        <v>562.27087803777999</v>
      </c>
      <c r="Y66" s="65">
        <f t="shared" ref="Y66:AA66" si="39">SUM(Y62:Y65)</f>
        <v>2957</v>
      </c>
      <c r="Z66" s="65">
        <f t="shared" si="39"/>
        <v>2484.3546414287152</v>
      </c>
      <c r="AA66" s="87">
        <f t="shared" si="39"/>
        <v>4432.6255194664946</v>
      </c>
      <c r="AB66" s="65">
        <f t="shared" ref="AB66:AG66" si="40">SUM(AB62:AB65)</f>
        <v>740</v>
      </c>
      <c r="AC66" s="65">
        <f t="shared" ref="AC66:AE66" si="41">SUM(AC62:AC65)</f>
        <v>1867</v>
      </c>
      <c r="AD66" s="65">
        <f t="shared" si="41"/>
        <v>3297</v>
      </c>
      <c r="AE66" s="65">
        <f t="shared" si="41"/>
        <v>5264</v>
      </c>
      <c r="AF66" s="87">
        <f t="shared" si="40"/>
        <v>11168</v>
      </c>
      <c r="AG66" s="65">
        <f t="shared" si="40"/>
        <v>-1150</v>
      </c>
      <c r="AH66" s="65">
        <f t="shared" ref="AH66:AJ66" si="42">SUM(AH62:AH65)</f>
        <v>1679</v>
      </c>
      <c r="AI66" s="65">
        <f t="shared" si="42"/>
        <v>2566</v>
      </c>
      <c r="AJ66" s="65">
        <f t="shared" si="42"/>
        <v>3638</v>
      </c>
      <c r="AK66" s="87">
        <f t="shared" ref="AK66:AL66" si="43">SUM(AK62:AK65)</f>
        <v>6733</v>
      </c>
      <c r="AL66" s="65">
        <f t="shared" si="43"/>
        <v>-2820</v>
      </c>
      <c r="AM66" s="65">
        <f t="shared" ref="AM66" si="44">SUM(AM62:AM65)</f>
        <v>2141</v>
      </c>
      <c r="AN66" s="65">
        <f>SUM(AN62:AN65)</f>
        <v>2974</v>
      </c>
      <c r="AO66" s="87">
        <f t="shared" si="34"/>
        <v>2295</v>
      </c>
    </row>
    <row r="67" spans="2:42" x14ac:dyDescent="0.35">
      <c r="B67" s="83"/>
      <c r="C67" s="56"/>
      <c r="D67" s="56"/>
      <c r="E67" s="56"/>
      <c r="F67" s="56"/>
      <c r="G67" s="84"/>
      <c r="H67" s="56"/>
      <c r="I67" s="56"/>
      <c r="J67" s="56"/>
      <c r="K67" s="56"/>
      <c r="L67" s="84"/>
      <c r="M67" s="56"/>
      <c r="N67" s="56"/>
      <c r="O67" s="56"/>
      <c r="P67" s="56"/>
      <c r="Q67" s="84"/>
      <c r="R67" s="56"/>
      <c r="S67" s="56"/>
      <c r="T67" s="56"/>
      <c r="U67" s="56"/>
      <c r="V67" s="84"/>
      <c r="W67" s="56"/>
      <c r="X67" s="56"/>
      <c r="Y67" s="56"/>
      <c r="Z67" s="56"/>
      <c r="AA67" s="84"/>
      <c r="AB67" s="56"/>
      <c r="AC67" s="56"/>
      <c r="AD67" s="56"/>
      <c r="AE67" s="56"/>
      <c r="AF67" s="84"/>
      <c r="AG67" s="56"/>
      <c r="AH67" s="56"/>
      <c r="AI67" s="56"/>
      <c r="AJ67" s="56"/>
      <c r="AK67" s="84"/>
      <c r="AL67" s="56"/>
      <c r="AM67" s="56"/>
      <c r="AN67" s="56"/>
      <c r="AO67" s="84"/>
      <c r="AP67" s="82"/>
    </row>
    <row r="68" spans="2:42" x14ac:dyDescent="0.35">
      <c r="B68" s="77" t="s">
        <v>103</v>
      </c>
      <c r="C68" s="56"/>
      <c r="D68" s="56"/>
      <c r="E68" s="56"/>
      <c r="F68" s="56"/>
      <c r="G68" s="84"/>
      <c r="H68" s="56"/>
      <c r="I68" s="56"/>
      <c r="J68" s="56"/>
      <c r="K68" s="56"/>
      <c r="L68" s="84"/>
      <c r="M68" s="56"/>
      <c r="N68" s="56"/>
      <c r="O68" s="56"/>
      <c r="P68" s="56"/>
      <c r="Q68" s="84"/>
      <c r="R68" s="56"/>
      <c r="S68" s="56"/>
      <c r="T68" s="56"/>
      <c r="U68" s="56"/>
      <c r="V68" s="84"/>
      <c r="W68" s="56"/>
      <c r="X68" s="56"/>
      <c r="Y68" s="56"/>
      <c r="Z68" s="56"/>
      <c r="AA68" s="84"/>
      <c r="AB68" s="56"/>
      <c r="AC68" s="56"/>
      <c r="AD68" s="56"/>
      <c r="AE68" s="56"/>
      <c r="AF68" s="84"/>
      <c r="AG68" s="56"/>
      <c r="AH68" s="56"/>
      <c r="AI68" s="56"/>
      <c r="AJ68" s="56"/>
      <c r="AK68" s="84"/>
      <c r="AL68" s="56"/>
      <c r="AM68" s="56"/>
      <c r="AN68" s="56"/>
      <c r="AO68" s="84"/>
      <c r="AP68" s="82"/>
    </row>
    <row r="69" spans="2:42" x14ac:dyDescent="0.35">
      <c r="B69" s="83" t="s">
        <v>104</v>
      </c>
      <c r="C69" s="56">
        <v>59</v>
      </c>
      <c r="D69" s="56">
        <f>90-C69</f>
        <v>31</v>
      </c>
      <c r="E69" s="56">
        <f>127-C69-D69</f>
        <v>37</v>
      </c>
      <c r="F69" s="56">
        <f t="shared" ref="F69:F82" si="45">G69-SUM(C69:E69)</f>
        <v>252</v>
      </c>
      <c r="G69" s="84">
        <v>379</v>
      </c>
      <c r="H69" s="56">
        <v>-29</v>
      </c>
      <c r="I69" s="56">
        <f>30-H69</f>
        <v>59</v>
      </c>
      <c r="J69" s="56">
        <f>55-I69-H69</f>
        <v>25</v>
      </c>
      <c r="K69" s="56">
        <f t="shared" ref="K69:K82" si="46">L69-SUM(H69:J69)</f>
        <v>123</v>
      </c>
      <c r="L69" s="84">
        <v>178</v>
      </c>
      <c r="M69" s="56">
        <v>51</v>
      </c>
      <c r="N69" s="56">
        <f>96-M69</f>
        <v>45</v>
      </c>
      <c r="O69" s="56">
        <f>148-M69-N69</f>
        <v>52</v>
      </c>
      <c r="P69" s="56">
        <f t="shared" ref="P69:P82" si="47">Q69-SUM(M69:O69)</f>
        <v>29</v>
      </c>
      <c r="Q69" s="84">
        <v>177</v>
      </c>
      <c r="R69" s="56">
        <v>7</v>
      </c>
      <c r="S69" s="56">
        <v>51</v>
      </c>
      <c r="T69" s="56">
        <v>81</v>
      </c>
      <c r="U69" s="56">
        <v>-7</v>
      </c>
      <c r="V69" s="84">
        <v>132</v>
      </c>
      <c r="W69" s="56">
        <v>11</v>
      </c>
      <c r="X69" s="56">
        <v>25</v>
      </c>
      <c r="Y69" s="56">
        <v>32</v>
      </c>
      <c r="Z69" s="56">
        <v>174</v>
      </c>
      <c r="AA69" s="84">
        <v>242</v>
      </c>
      <c r="AB69" s="56">
        <v>239</v>
      </c>
      <c r="AC69" s="56">
        <v>47</v>
      </c>
      <c r="AD69" s="56">
        <v>101</v>
      </c>
      <c r="AE69" s="56">
        <v>453</v>
      </c>
      <c r="AF69" s="84">
        <f t="shared" ref="AF69:AF82" si="48">SUM(AB69:AE69)</f>
        <v>840</v>
      </c>
      <c r="AG69" s="56">
        <v>93</v>
      </c>
      <c r="AH69" s="56">
        <v>91</v>
      </c>
      <c r="AI69" s="56">
        <v>23</v>
      </c>
      <c r="AJ69" s="56">
        <v>24</v>
      </c>
      <c r="AK69" s="84">
        <f t="shared" ref="AK69:AK82" si="49">SUM(AG69:AJ69)</f>
        <v>231</v>
      </c>
      <c r="AL69" s="56">
        <v>56</v>
      </c>
      <c r="AM69" s="56">
        <v>41</v>
      </c>
      <c r="AN69" s="56">
        <v>15</v>
      </c>
      <c r="AO69" s="84">
        <f t="shared" ref="AO69:AO84" si="50">SUM(AL69:AN69)</f>
        <v>112</v>
      </c>
      <c r="AP69" s="82"/>
    </row>
    <row r="70" spans="2:42" x14ac:dyDescent="0.35">
      <c r="B70" s="83"/>
      <c r="C70" s="56"/>
      <c r="D70" s="56"/>
      <c r="E70" s="56"/>
      <c r="F70" s="56"/>
      <c r="G70" s="84"/>
      <c r="H70" s="56"/>
      <c r="I70" s="56"/>
      <c r="J70" s="56"/>
      <c r="K70" s="56"/>
      <c r="L70" s="84"/>
      <c r="M70" s="56"/>
      <c r="N70" s="56"/>
      <c r="O70" s="56"/>
      <c r="P70" s="56"/>
      <c r="Q70" s="84"/>
      <c r="R70" s="56"/>
      <c r="S70" s="56"/>
      <c r="T70" s="56"/>
      <c r="U70" s="56"/>
      <c r="V70" s="84"/>
      <c r="W70" s="56"/>
      <c r="X70" s="56"/>
      <c r="Y70" s="56"/>
      <c r="Z70" s="56"/>
      <c r="AA70" s="84"/>
      <c r="AB70" s="56"/>
      <c r="AC70" s="56"/>
      <c r="AD70" s="56"/>
      <c r="AE70" s="56"/>
      <c r="AF70" s="84"/>
      <c r="AG70" s="56"/>
      <c r="AH70" s="56"/>
      <c r="AI70" s="56"/>
      <c r="AJ70" s="56"/>
      <c r="AK70" s="84"/>
      <c r="AL70" s="56">
        <v>936</v>
      </c>
      <c r="AM70" s="56">
        <v>0</v>
      </c>
      <c r="AN70" s="56">
        <v>0</v>
      </c>
      <c r="AO70" s="84">
        <f t="shared" si="50"/>
        <v>936</v>
      </c>
      <c r="AP70" s="82"/>
    </row>
    <row r="71" spans="2:42" x14ac:dyDescent="0.35">
      <c r="B71" s="83" t="s">
        <v>105</v>
      </c>
      <c r="C71" s="56">
        <v>0</v>
      </c>
      <c r="D71" s="56">
        <v>0</v>
      </c>
      <c r="E71" s="56">
        <v>0</v>
      </c>
      <c r="F71" s="56">
        <v>0</v>
      </c>
      <c r="G71" s="84">
        <v>0</v>
      </c>
      <c r="H71" s="56">
        <v>0</v>
      </c>
      <c r="I71" s="56">
        <v>0</v>
      </c>
      <c r="J71" s="56">
        <v>0</v>
      </c>
      <c r="K71" s="56">
        <f t="shared" si="46"/>
        <v>1009</v>
      </c>
      <c r="L71" s="84">
        <v>1009</v>
      </c>
      <c r="M71" s="56">
        <v>0</v>
      </c>
      <c r="N71" s="56">
        <v>0</v>
      </c>
      <c r="O71" s="56">
        <v>0</v>
      </c>
      <c r="P71" s="56">
        <f t="shared" si="47"/>
        <v>0</v>
      </c>
      <c r="Q71" s="84">
        <v>0</v>
      </c>
      <c r="R71" s="56">
        <v>0</v>
      </c>
      <c r="S71" s="56">
        <v>0</v>
      </c>
      <c r="T71" s="56">
        <v>0</v>
      </c>
      <c r="U71" s="56">
        <v>0</v>
      </c>
      <c r="V71" s="84">
        <v>0</v>
      </c>
      <c r="W71" s="56">
        <v>0</v>
      </c>
      <c r="X71" s="56">
        <v>0</v>
      </c>
      <c r="Y71" s="56">
        <v>0</v>
      </c>
      <c r="Z71" s="56">
        <v>0</v>
      </c>
      <c r="AA71" s="84">
        <v>0</v>
      </c>
      <c r="AB71" s="56">
        <v>0</v>
      </c>
      <c r="AC71" s="56">
        <v>0</v>
      </c>
      <c r="AD71" s="56">
        <v>0</v>
      </c>
      <c r="AE71" s="56"/>
      <c r="AF71" s="84">
        <f t="shared" si="48"/>
        <v>0</v>
      </c>
      <c r="AG71" s="56">
        <v>0</v>
      </c>
      <c r="AH71" s="56">
        <v>0</v>
      </c>
      <c r="AI71" s="56">
        <v>0</v>
      </c>
      <c r="AJ71" s="56">
        <v>0</v>
      </c>
      <c r="AK71" s="84">
        <f t="shared" si="49"/>
        <v>0</v>
      </c>
      <c r="AL71" s="56">
        <v>0</v>
      </c>
      <c r="AM71" s="56">
        <v>0</v>
      </c>
      <c r="AN71" s="56">
        <v>0</v>
      </c>
      <c r="AO71" s="84">
        <f t="shared" si="50"/>
        <v>0</v>
      </c>
      <c r="AP71" s="82"/>
    </row>
    <row r="72" spans="2:42" x14ac:dyDescent="0.35">
      <c r="B72" s="85" t="s">
        <v>126</v>
      </c>
      <c r="C72" s="56">
        <v>0</v>
      </c>
      <c r="D72" s="56">
        <v>0</v>
      </c>
      <c r="E72" s="56">
        <v>0</v>
      </c>
      <c r="F72" s="56">
        <v>0</v>
      </c>
      <c r="G72" s="84">
        <v>0</v>
      </c>
      <c r="H72" s="56">
        <v>0</v>
      </c>
      <c r="I72" s="56">
        <v>0</v>
      </c>
      <c r="J72" s="56">
        <v>0</v>
      </c>
      <c r="K72" s="56">
        <f t="shared" si="46"/>
        <v>753</v>
      </c>
      <c r="L72" s="84">
        <v>753</v>
      </c>
      <c r="M72" s="56">
        <v>0</v>
      </c>
      <c r="N72" s="56">
        <v>0</v>
      </c>
      <c r="O72" s="56">
        <v>0</v>
      </c>
      <c r="P72" s="56">
        <f t="shared" si="47"/>
        <v>0</v>
      </c>
      <c r="Q72" s="84">
        <v>0</v>
      </c>
      <c r="R72" s="56">
        <v>0</v>
      </c>
      <c r="S72" s="56">
        <v>0</v>
      </c>
      <c r="T72" s="56">
        <v>0</v>
      </c>
      <c r="U72" s="56">
        <v>0</v>
      </c>
      <c r="V72" s="84">
        <v>0</v>
      </c>
      <c r="W72" s="56">
        <v>0</v>
      </c>
      <c r="X72" s="56">
        <v>0</v>
      </c>
      <c r="Y72" s="56">
        <v>0</v>
      </c>
      <c r="Z72" s="56">
        <v>0</v>
      </c>
      <c r="AA72" s="84">
        <v>0</v>
      </c>
      <c r="AB72" s="56">
        <v>0</v>
      </c>
      <c r="AC72" s="56">
        <v>0</v>
      </c>
      <c r="AD72" s="56">
        <v>877</v>
      </c>
      <c r="AE72" s="56">
        <v>33</v>
      </c>
      <c r="AF72" s="84">
        <f t="shared" si="48"/>
        <v>910</v>
      </c>
      <c r="AG72" s="56">
        <v>0</v>
      </c>
      <c r="AH72" s="56">
        <v>0</v>
      </c>
      <c r="AI72" s="56">
        <v>0</v>
      </c>
      <c r="AJ72" s="56">
        <v>0</v>
      </c>
      <c r="AK72" s="84">
        <f t="shared" si="49"/>
        <v>0</v>
      </c>
      <c r="AL72" s="56">
        <v>0</v>
      </c>
      <c r="AM72" s="56">
        <v>0</v>
      </c>
      <c r="AN72" s="56">
        <v>0</v>
      </c>
      <c r="AO72" s="84">
        <f t="shared" si="50"/>
        <v>0</v>
      </c>
      <c r="AP72" s="82"/>
    </row>
    <row r="73" spans="2:42" x14ac:dyDescent="0.35">
      <c r="B73" s="83" t="s">
        <v>201</v>
      </c>
      <c r="C73" s="56">
        <v>566</v>
      </c>
      <c r="D73" s="56">
        <f>566-C73+11</f>
        <v>11</v>
      </c>
      <c r="E73" s="56">
        <f>566+82-C73-D73</f>
        <v>71</v>
      </c>
      <c r="F73" s="56">
        <f t="shared" si="45"/>
        <v>0</v>
      </c>
      <c r="G73" s="84">
        <f>566+82</f>
        <v>648</v>
      </c>
      <c r="H73" s="56">
        <v>25</v>
      </c>
      <c r="I73" s="56">
        <f>29-H73</f>
        <v>4</v>
      </c>
      <c r="J73" s="56">
        <f>33-I73-H73</f>
        <v>4</v>
      </c>
      <c r="K73" s="56">
        <f t="shared" si="46"/>
        <v>1904</v>
      </c>
      <c r="L73" s="84">
        <v>1937</v>
      </c>
      <c r="M73" s="56">
        <v>31</v>
      </c>
      <c r="N73" s="56">
        <f>31-M73</f>
        <v>0</v>
      </c>
      <c r="O73" s="56">
        <f>54-N73-M73</f>
        <v>23</v>
      </c>
      <c r="P73" s="56">
        <f t="shared" si="47"/>
        <v>365</v>
      </c>
      <c r="Q73" s="84">
        <v>419</v>
      </c>
      <c r="R73" s="56">
        <v>8181</v>
      </c>
      <c r="S73" s="56">
        <v>0</v>
      </c>
      <c r="T73" s="56">
        <v>0</v>
      </c>
      <c r="U73" s="56">
        <v>0</v>
      </c>
      <c r="V73" s="84">
        <v>8181</v>
      </c>
      <c r="W73" s="56">
        <v>0</v>
      </c>
      <c r="X73" s="56">
        <v>0</v>
      </c>
      <c r="Y73" s="56">
        <v>37</v>
      </c>
      <c r="Z73" s="56">
        <v>1425</v>
      </c>
      <c r="AA73" s="84">
        <v>1462</v>
      </c>
      <c r="AB73" s="56">
        <v>1643</v>
      </c>
      <c r="AC73" s="56">
        <v>0</v>
      </c>
      <c r="AD73" s="56">
        <v>-31</v>
      </c>
      <c r="AE73" s="56">
        <v>3</v>
      </c>
      <c r="AF73" s="84">
        <f t="shared" si="48"/>
        <v>1615</v>
      </c>
      <c r="AG73" s="56">
        <v>20</v>
      </c>
      <c r="AH73" s="56">
        <v>904</v>
      </c>
      <c r="AI73" s="56">
        <v>0</v>
      </c>
      <c r="AJ73" s="56">
        <v>40</v>
      </c>
      <c r="AK73" s="84">
        <f t="shared" si="49"/>
        <v>964</v>
      </c>
      <c r="AL73" s="56">
        <v>32</v>
      </c>
      <c r="AM73" s="56">
        <v>0</v>
      </c>
      <c r="AN73" s="56">
        <v>173</v>
      </c>
      <c r="AO73" s="84">
        <f t="shared" si="50"/>
        <v>205</v>
      </c>
      <c r="AP73" s="82"/>
    </row>
    <row r="74" spans="2:42" x14ac:dyDescent="0.35">
      <c r="B74" s="83" t="s">
        <v>106</v>
      </c>
      <c r="C74" s="56">
        <v>3</v>
      </c>
      <c r="D74" s="56">
        <f>190-C74</f>
        <v>187</v>
      </c>
      <c r="E74" s="56">
        <f>208-C74-D74</f>
        <v>18</v>
      </c>
      <c r="F74" s="56">
        <f t="shared" si="45"/>
        <v>37</v>
      </c>
      <c r="G74" s="84">
        <v>245</v>
      </c>
      <c r="H74" s="56">
        <v>22</v>
      </c>
      <c r="I74" s="56">
        <f>226-H74</f>
        <v>204</v>
      </c>
      <c r="J74" s="56">
        <f>252-I74-H74</f>
        <v>26</v>
      </c>
      <c r="K74" s="56">
        <f t="shared" si="46"/>
        <v>288</v>
      </c>
      <c r="L74" s="84">
        <v>540</v>
      </c>
      <c r="M74" s="56">
        <v>20</v>
      </c>
      <c r="N74" s="56">
        <f>152-M74</f>
        <v>132</v>
      </c>
      <c r="O74" s="56">
        <f>144-M74-N74</f>
        <v>-8</v>
      </c>
      <c r="P74" s="56">
        <f t="shared" si="47"/>
        <v>941</v>
      </c>
      <c r="Q74" s="84">
        <v>1085</v>
      </c>
      <c r="R74" s="56">
        <v>0</v>
      </c>
      <c r="S74" s="56">
        <v>9</v>
      </c>
      <c r="T74" s="56">
        <v>26</v>
      </c>
      <c r="U74" s="56">
        <v>511</v>
      </c>
      <c r="V74" s="84">
        <v>546</v>
      </c>
      <c r="W74" s="56">
        <v>2</v>
      </c>
      <c r="X74" s="56">
        <v>17.719112897558631</v>
      </c>
      <c r="Y74" s="56">
        <v>27</v>
      </c>
      <c r="Z74" s="56">
        <v>125.07441095278867</v>
      </c>
      <c r="AA74" s="84">
        <v>171.7935238503473</v>
      </c>
      <c r="AB74" s="56">
        <v>131</v>
      </c>
      <c r="AC74" s="56">
        <v>87</v>
      </c>
      <c r="AD74" s="56">
        <v>0</v>
      </c>
      <c r="AE74" s="56">
        <v>253</v>
      </c>
      <c r="AF74" s="84">
        <f t="shared" si="48"/>
        <v>471</v>
      </c>
      <c r="AG74" s="56">
        <v>15</v>
      </c>
      <c r="AH74" s="56">
        <v>257</v>
      </c>
      <c r="AI74" s="56">
        <v>20</v>
      </c>
      <c r="AJ74" s="56">
        <v>165</v>
      </c>
      <c r="AK74" s="84">
        <f t="shared" si="49"/>
        <v>457</v>
      </c>
      <c r="AL74" s="56">
        <v>23</v>
      </c>
      <c r="AM74" s="56">
        <v>705</v>
      </c>
      <c r="AN74" s="56">
        <v>178</v>
      </c>
      <c r="AO74" s="84">
        <f t="shared" si="50"/>
        <v>906</v>
      </c>
      <c r="AP74" s="82"/>
    </row>
    <row r="75" spans="2:42" x14ac:dyDescent="0.35">
      <c r="B75" s="83" t="s">
        <v>107</v>
      </c>
      <c r="C75" s="56">
        <v>0</v>
      </c>
      <c r="D75" s="56">
        <v>0</v>
      </c>
      <c r="E75" s="56">
        <v>0</v>
      </c>
      <c r="F75" s="56">
        <v>0</v>
      </c>
      <c r="G75" s="84">
        <v>0</v>
      </c>
      <c r="H75" s="56">
        <v>0</v>
      </c>
      <c r="I75" s="56">
        <v>0</v>
      </c>
      <c r="J75" s="56">
        <v>0</v>
      </c>
      <c r="K75" s="56">
        <v>0</v>
      </c>
      <c r="L75" s="84">
        <v>0</v>
      </c>
      <c r="M75" s="56">
        <v>0</v>
      </c>
      <c r="N75" s="56">
        <v>0</v>
      </c>
      <c r="O75" s="56">
        <v>-124</v>
      </c>
      <c r="P75" s="56">
        <f t="shared" si="47"/>
        <v>-1</v>
      </c>
      <c r="Q75" s="84">
        <v>-125</v>
      </c>
      <c r="R75" s="56">
        <v>-203</v>
      </c>
      <c r="S75" s="56">
        <v>87</v>
      </c>
      <c r="T75" s="56">
        <v>0</v>
      </c>
      <c r="U75" s="56">
        <v>-40</v>
      </c>
      <c r="V75" s="84">
        <v>-156</v>
      </c>
      <c r="W75" s="56">
        <v>-228</v>
      </c>
      <c r="X75" s="56">
        <v>0</v>
      </c>
      <c r="Y75" s="56">
        <v>0</v>
      </c>
      <c r="Z75" s="56">
        <v>6</v>
      </c>
      <c r="AA75" s="84">
        <v>-222</v>
      </c>
      <c r="AB75" s="56">
        <v>-36</v>
      </c>
      <c r="AC75" s="56">
        <v>191</v>
      </c>
      <c r="AD75" s="56">
        <v>-684</v>
      </c>
      <c r="AE75" s="56">
        <v>-64</v>
      </c>
      <c r="AF75" s="84">
        <f t="shared" si="48"/>
        <v>-593</v>
      </c>
      <c r="AG75" s="56">
        <v>-93</v>
      </c>
      <c r="AH75" s="56">
        <v>0</v>
      </c>
      <c r="AI75" s="56">
        <v>-1250</v>
      </c>
      <c r="AJ75" s="56">
        <v>-553</v>
      </c>
      <c r="AK75" s="84">
        <f t="shared" si="49"/>
        <v>-1896</v>
      </c>
      <c r="AL75" s="56">
        <v>0</v>
      </c>
      <c r="AM75" s="56"/>
      <c r="AN75" s="56">
        <v>0</v>
      </c>
      <c r="AO75" s="84">
        <f t="shared" si="50"/>
        <v>0</v>
      </c>
      <c r="AP75" s="82"/>
    </row>
    <row r="76" spans="2:42" x14ac:dyDescent="0.35">
      <c r="B76" s="83" t="s">
        <v>108</v>
      </c>
      <c r="C76" s="56">
        <v>-646</v>
      </c>
      <c r="D76" s="56">
        <f>-1420-C76</f>
        <v>-774</v>
      </c>
      <c r="E76" s="56">
        <f>-2124-D76-C76</f>
        <v>-704</v>
      </c>
      <c r="F76" s="56">
        <f t="shared" si="45"/>
        <v>-902</v>
      </c>
      <c r="G76" s="84">
        <f>-3026</f>
        <v>-3026</v>
      </c>
      <c r="H76" s="56">
        <v>-568</v>
      </c>
      <c r="I76" s="56">
        <f>-1297-H76</f>
        <v>-729</v>
      </c>
      <c r="J76" s="56">
        <f>-1971-I76-H76</f>
        <v>-674</v>
      </c>
      <c r="K76" s="56">
        <f t="shared" si="46"/>
        <v>-1137</v>
      </c>
      <c r="L76" s="84">
        <v>-3108</v>
      </c>
      <c r="M76" s="56">
        <v>-342</v>
      </c>
      <c r="N76" s="56">
        <f>-856-M76</f>
        <v>-514</v>
      </c>
      <c r="O76" s="56">
        <f>-1448-M76-N76</f>
        <v>-592</v>
      </c>
      <c r="P76" s="56">
        <f t="shared" si="47"/>
        <v>-1119</v>
      </c>
      <c r="Q76" s="84">
        <v>-2567</v>
      </c>
      <c r="R76" s="56">
        <v>-463</v>
      </c>
      <c r="S76" s="56">
        <v>-719</v>
      </c>
      <c r="T76" s="56">
        <v>-799</v>
      </c>
      <c r="U76" s="56">
        <v>-1208</v>
      </c>
      <c r="V76" s="84">
        <v>-3189</v>
      </c>
      <c r="W76" s="56">
        <v>-665</v>
      </c>
      <c r="X76" s="56">
        <v>-686</v>
      </c>
      <c r="Y76" s="56">
        <v>-869</v>
      </c>
      <c r="Z76" s="56">
        <v>-1296</v>
      </c>
      <c r="AA76" s="84">
        <v>-3516</v>
      </c>
      <c r="AB76" s="56">
        <v>-835</v>
      </c>
      <c r="AC76" s="56">
        <v>-1111</v>
      </c>
      <c r="AD76" s="56">
        <v>-1335</v>
      </c>
      <c r="AE76" s="56">
        <v>-2065</v>
      </c>
      <c r="AF76" s="84">
        <f t="shared" si="48"/>
        <v>-5346</v>
      </c>
      <c r="AG76" s="56">
        <v>-837</v>
      </c>
      <c r="AH76" s="56">
        <v>-1070</v>
      </c>
      <c r="AI76" s="56">
        <v>-1196</v>
      </c>
      <c r="AJ76" s="56">
        <v>-1961</v>
      </c>
      <c r="AK76" s="84">
        <f t="shared" si="49"/>
        <v>-5064</v>
      </c>
      <c r="AL76" s="56">
        <v>-952</v>
      </c>
      <c r="AM76" s="56">
        <v>-1084</v>
      </c>
      <c r="AN76" s="56">
        <v>0</v>
      </c>
      <c r="AO76" s="84">
        <f t="shared" si="50"/>
        <v>-2036</v>
      </c>
      <c r="AP76" s="82"/>
    </row>
    <row r="77" spans="2:42" x14ac:dyDescent="0.35">
      <c r="B77" s="83" t="s">
        <v>109</v>
      </c>
      <c r="C77" s="56">
        <v>-1</v>
      </c>
      <c r="D77" s="56">
        <f>0-C77</f>
        <v>1</v>
      </c>
      <c r="E77" s="56">
        <f>-8-D77-C77</f>
        <v>-8</v>
      </c>
      <c r="F77" s="56">
        <f t="shared" si="45"/>
        <v>3</v>
      </c>
      <c r="G77" s="84">
        <v>-5</v>
      </c>
      <c r="H77" s="56">
        <v>-2</v>
      </c>
      <c r="I77" s="56">
        <f>-1-H77</f>
        <v>1</v>
      </c>
      <c r="J77" s="56">
        <f>-1-H77-I77</f>
        <v>0</v>
      </c>
      <c r="K77" s="56">
        <f t="shared" si="46"/>
        <v>-3</v>
      </c>
      <c r="L77" s="84">
        <v>-4</v>
      </c>
      <c r="M77" s="56">
        <v>-3</v>
      </c>
      <c r="N77" s="56">
        <f>-10-M77</f>
        <v>-7</v>
      </c>
      <c r="O77" s="56">
        <f>-10-M77-N77</f>
        <v>0</v>
      </c>
      <c r="P77" s="56">
        <f t="shared" si="47"/>
        <v>1</v>
      </c>
      <c r="Q77" s="84">
        <v>-9</v>
      </c>
      <c r="R77" s="56">
        <v>0</v>
      </c>
      <c r="S77" s="56">
        <v>0</v>
      </c>
      <c r="T77" s="56">
        <v>0</v>
      </c>
      <c r="U77" s="56">
        <v>-11</v>
      </c>
      <c r="V77" s="84">
        <v>-11</v>
      </c>
      <c r="W77" s="56">
        <v>5</v>
      </c>
      <c r="X77" s="56">
        <v>-8.0711996145560505</v>
      </c>
      <c r="Y77" s="56">
        <v>-13</v>
      </c>
      <c r="Z77" s="56">
        <v>9.2683245864968029</v>
      </c>
      <c r="AA77" s="84">
        <v>-6.8028750280592476</v>
      </c>
      <c r="AB77" s="56">
        <v>1</v>
      </c>
      <c r="AC77" s="56">
        <v>-4</v>
      </c>
      <c r="AD77" s="56">
        <v>8</v>
      </c>
      <c r="AE77" s="56">
        <v>-5</v>
      </c>
      <c r="AF77" s="84">
        <f t="shared" si="48"/>
        <v>0</v>
      </c>
      <c r="AG77" s="56">
        <v>6</v>
      </c>
      <c r="AH77" s="56">
        <v>-4</v>
      </c>
      <c r="AI77" s="56">
        <v>11</v>
      </c>
      <c r="AJ77" s="56">
        <v>5</v>
      </c>
      <c r="AK77" s="84">
        <f t="shared" si="49"/>
        <v>18</v>
      </c>
      <c r="AL77" s="56">
        <v>0</v>
      </c>
      <c r="AM77" s="56">
        <v>9</v>
      </c>
      <c r="AN77" s="56">
        <v>-1156</v>
      </c>
      <c r="AO77" s="84">
        <f t="shared" si="50"/>
        <v>-1147</v>
      </c>
      <c r="AP77" s="82"/>
    </row>
    <row r="78" spans="2:42" x14ac:dyDescent="0.35">
      <c r="B78" s="105" t="s">
        <v>187</v>
      </c>
      <c r="C78" s="56">
        <v>-56</v>
      </c>
      <c r="D78" s="56">
        <f>-104-C78</f>
        <v>-48</v>
      </c>
      <c r="E78" s="56">
        <f>-97-D78-C78</f>
        <v>7</v>
      </c>
      <c r="F78" s="56">
        <f t="shared" si="45"/>
        <v>-84</v>
      </c>
      <c r="G78" s="84">
        <v>-181</v>
      </c>
      <c r="H78" s="56">
        <v>-12</v>
      </c>
      <c r="I78" s="56">
        <f>-13-H78</f>
        <v>-1</v>
      </c>
      <c r="J78" s="56">
        <f>-65-H78-I78</f>
        <v>-52</v>
      </c>
      <c r="K78" s="56">
        <f t="shared" si="46"/>
        <v>-109</v>
      </c>
      <c r="L78" s="84">
        <v>-174</v>
      </c>
      <c r="M78" s="56">
        <v>-7</v>
      </c>
      <c r="N78" s="56">
        <f>-1-M78</f>
        <v>6</v>
      </c>
      <c r="O78" s="56">
        <f>-108-M78-N78</f>
        <v>-107</v>
      </c>
      <c r="P78" s="56">
        <f t="shared" si="47"/>
        <v>-7</v>
      </c>
      <c r="Q78" s="84">
        <v>-115</v>
      </c>
      <c r="R78" s="56">
        <v>-9</v>
      </c>
      <c r="S78" s="56">
        <v>1</v>
      </c>
      <c r="T78" s="56">
        <v>-7</v>
      </c>
      <c r="U78" s="56">
        <v>-44</v>
      </c>
      <c r="V78" s="84">
        <v>-59</v>
      </c>
      <c r="W78" s="56">
        <v>-6</v>
      </c>
      <c r="X78" s="56">
        <v>-1</v>
      </c>
      <c r="Y78" s="56">
        <v>4</v>
      </c>
      <c r="Z78" s="56">
        <v>-19</v>
      </c>
      <c r="AA78" s="84">
        <v>-22</v>
      </c>
      <c r="AB78" s="56">
        <v>0</v>
      </c>
      <c r="AC78" s="56">
        <v>-61</v>
      </c>
      <c r="AD78" s="56">
        <v>-200</v>
      </c>
      <c r="AE78" s="56">
        <v>-405</v>
      </c>
      <c r="AF78" s="84">
        <f t="shared" si="48"/>
        <v>-666</v>
      </c>
      <c r="AG78" s="56">
        <v>-84</v>
      </c>
      <c r="AH78" s="56">
        <v>-122</v>
      </c>
      <c r="AI78" s="56">
        <v>-77</v>
      </c>
      <c r="AJ78" s="56">
        <v>-805</v>
      </c>
      <c r="AK78" s="84">
        <f t="shared" si="49"/>
        <v>-1088</v>
      </c>
      <c r="AL78" s="56">
        <v>-53</v>
      </c>
      <c r="AM78" s="56">
        <v>-56</v>
      </c>
      <c r="AN78" s="56">
        <v>9</v>
      </c>
      <c r="AO78" s="84">
        <f t="shared" si="50"/>
        <v>-100</v>
      </c>
      <c r="AP78" s="82"/>
    </row>
    <row r="79" spans="2:42" x14ac:dyDescent="0.35">
      <c r="B79" s="105" t="s">
        <v>228</v>
      </c>
      <c r="C79" s="56">
        <v>0</v>
      </c>
      <c r="D79" s="56">
        <v>0</v>
      </c>
      <c r="E79" s="56">
        <v>0</v>
      </c>
      <c r="F79" s="56">
        <v>0</v>
      </c>
      <c r="G79" s="84">
        <v>0</v>
      </c>
      <c r="H79" s="56">
        <v>0</v>
      </c>
      <c r="I79" s="56">
        <v>0</v>
      </c>
      <c r="J79" s="56">
        <v>0</v>
      </c>
      <c r="K79" s="56">
        <v>0</v>
      </c>
      <c r="L79" s="84">
        <v>0</v>
      </c>
      <c r="M79" s="56">
        <v>0</v>
      </c>
      <c r="N79" s="56">
        <v>0</v>
      </c>
      <c r="O79" s="56">
        <v>0</v>
      </c>
      <c r="P79" s="56">
        <v>0</v>
      </c>
      <c r="Q79" s="84">
        <v>0</v>
      </c>
      <c r="R79" s="56">
        <v>0</v>
      </c>
      <c r="S79" s="56">
        <v>0</v>
      </c>
      <c r="T79" s="56">
        <v>0</v>
      </c>
      <c r="U79" s="56">
        <v>0</v>
      </c>
      <c r="V79" s="84">
        <v>0</v>
      </c>
      <c r="W79" s="56">
        <v>0</v>
      </c>
      <c r="X79" s="56">
        <v>0</v>
      </c>
      <c r="Y79" s="56">
        <v>0</v>
      </c>
      <c r="Z79" s="56">
        <v>0</v>
      </c>
      <c r="AA79" s="84">
        <v>0</v>
      </c>
      <c r="AB79" s="56">
        <v>0</v>
      </c>
      <c r="AC79" s="56">
        <v>0</v>
      </c>
      <c r="AD79" s="56">
        <v>0</v>
      </c>
      <c r="AE79" s="56">
        <v>-1368</v>
      </c>
      <c r="AF79" s="84">
        <f t="shared" si="48"/>
        <v>-1368</v>
      </c>
      <c r="AG79" s="56">
        <v>0</v>
      </c>
      <c r="AH79" s="56">
        <v>-33</v>
      </c>
      <c r="AI79" s="56">
        <v>0</v>
      </c>
      <c r="AJ79" s="56"/>
      <c r="AK79" s="84">
        <f t="shared" si="49"/>
        <v>-33</v>
      </c>
      <c r="AL79" s="56">
        <v>0</v>
      </c>
      <c r="AM79" s="56">
        <v>-1392</v>
      </c>
      <c r="AN79" s="56">
        <v>-46</v>
      </c>
      <c r="AO79" s="84">
        <f t="shared" si="50"/>
        <v>-1438</v>
      </c>
      <c r="AP79" s="82"/>
    </row>
    <row r="80" spans="2:42" x14ac:dyDescent="0.35">
      <c r="B80" s="105" t="s">
        <v>229</v>
      </c>
      <c r="C80" s="56">
        <v>0</v>
      </c>
      <c r="D80" s="56">
        <v>0</v>
      </c>
      <c r="E80" s="56">
        <v>0</v>
      </c>
      <c r="F80" s="56">
        <v>0</v>
      </c>
      <c r="G80" s="84">
        <v>0</v>
      </c>
      <c r="H80" s="56">
        <v>0</v>
      </c>
      <c r="I80" s="56">
        <v>0</v>
      </c>
      <c r="J80" s="56">
        <v>0</v>
      </c>
      <c r="K80" s="56">
        <v>0</v>
      </c>
      <c r="L80" s="84">
        <v>0</v>
      </c>
      <c r="M80" s="56">
        <v>0</v>
      </c>
      <c r="N80" s="56">
        <v>0</v>
      </c>
      <c r="O80" s="56">
        <v>0</v>
      </c>
      <c r="P80" s="56">
        <v>0</v>
      </c>
      <c r="Q80" s="84">
        <v>0</v>
      </c>
      <c r="R80" s="56">
        <v>0</v>
      </c>
      <c r="S80" s="56">
        <v>0</v>
      </c>
      <c r="T80" s="56">
        <v>0</v>
      </c>
      <c r="U80" s="56">
        <v>0</v>
      </c>
      <c r="V80" s="84">
        <v>0</v>
      </c>
      <c r="W80" s="56">
        <v>0</v>
      </c>
      <c r="X80" s="56">
        <v>0</v>
      </c>
      <c r="Y80" s="56">
        <v>0</v>
      </c>
      <c r="Z80" s="56">
        <v>0</v>
      </c>
      <c r="AA80" s="84">
        <v>0</v>
      </c>
      <c r="AB80" s="56">
        <v>0</v>
      </c>
      <c r="AC80" s="56">
        <v>0</v>
      </c>
      <c r="AD80" s="56">
        <v>0</v>
      </c>
      <c r="AE80" s="56">
        <v>-58</v>
      </c>
      <c r="AF80" s="84">
        <f t="shared" si="48"/>
        <v>-58</v>
      </c>
      <c r="AG80" s="56">
        <v>0</v>
      </c>
      <c r="AH80" s="56">
        <v>0</v>
      </c>
      <c r="AI80" s="56">
        <v>-26</v>
      </c>
      <c r="AJ80" s="56">
        <v>24</v>
      </c>
      <c r="AK80" s="84">
        <f t="shared" si="49"/>
        <v>-2</v>
      </c>
      <c r="AL80" s="56">
        <v>-67</v>
      </c>
      <c r="AM80" s="56">
        <v>-46</v>
      </c>
      <c r="AN80" s="56">
        <v>-31</v>
      </c>
      <c r="AO80" s="84">
        <f t="shared" si="50"/>
        <v>-144</v>
      </c>
      <c r="AP80" s="82"/>
    </row>
    <row r="81" spans="2:42" x14ac:dyDescent="0.35">
      <c r="B81" s="105" t="s">
        <v>236</v>
      </c>
      <c r="C81" s="56">
        <v>0</v>
      </c>
      <c r="D81" s="56">
        <v>0</v>
      </c>
      <c r="E81" s="56">
        <v>0</v>
      </c>
      <c r="F81" s="56">
        <v>0</v>
      </c>
      <c r="G81" s="84">
        <v>0</v>
      </c>
      <c r="H81" s="56">
        <v>0</v>
      </c>
      <c r="I81" s="56">
        <v>0</v>
      </c>
      <c r="J81" s="56">
        <v>0</v>
      </c>
      <c r="K81" s="56">
        <v>0</v>
      </c>
      <c r="L81" s="84">
        <v>0</v>
      </c>
      <c r="M81" s="56">
        <v>0</v>
      </c>
      <c r="N81" s="56">
        <v>0</v>
      </c>
      <c r="O81" s="56">
        <v>0</v>
      </c>
      <c r="P81" s="56">
        <v>0</v>
      </c>
      <c r="Q81" s="84">
        <v>0</v>
      </c>
      <c r="R81" s="56">
        <v>0</v>
      </c>
      <c r="S81" s="56">
        <v>0</v>
      </c>
      <c r="T81" s="56">
        <v>0</v>
      </c>
      <c r="U81" s="56">
        <v>0</v>
      </c>
      <c r="V81" s="84">
        <v>0</v>
      </c>
      <c r="W81" s="56">
        <v>0</v>
      </c>
      <c r="X81" s="56">
        <v>0</v>
      </c>
      <c r="Y81" s="56">
        <v>0</v>
      </c>
      <c r="Z81" s="56">
        <v>0</v>
      </c>
      <c r="AA81" s="84">
        <v>0</v>
      </c>
      <c r="AB81" s="56">
        <v>0</v>
      </c>
      <c r="AC81" s="56">
        <v>0</v>
      </c>
      <c r="AD81" s="56">
        <v>0</v>
      </c>
      <c r="AE81" s="56">
        <v>0</v>
      </c>
      <c r="AF81" s="84">
        <v>0</v>
      </c>
      <c r="AG81" s="56">
        <v>-40</v>
      </c>
      <c r="AH81" s="56">
        <v>0</v>
      </c>
      <c r="AI81" s="56">
        <v>0</v>
      </c>
      <c r="AJ81" s="56">
        <v>40</v>
      </c>
      <c r="AK81" s="84">
        <f t="shared" si="49"/>
        <v>0</v>
      </c>
      <c r="AL81" s="56">
        <v>0</v>
      </c>
      <c r="AM81" s="56">
        <v>0</v>
      </c>
      <c r="AN81" s="56"/>
      <c r="AO81" s="84">
        <f t="shared" si="50"/>
        <v>0</v>
      </c>
      <c r="AP81" s="82"/>
    </row>
    <row r="82" spans="2:42" x14ac:dyDescent="0.35">
      <c r="B82" s="83" t="s">
        <v>101</v>
      </c>
      <c r="C82" s="56">
        <v>0</v>
      </c>
      <c r="D82" s="56">
        <v>0</v>
      </c>
      <c r="E82" s="56">
        <v>0</v>
      </c>
      <c r="F82" s="56">
        <f t="shared" si="45"/>
        <v>0</v>
      </c>
      <c r="G82" s="84">
        <v>0</v>
      </c>
      <c r="H82" s="56">
        <v>0</v>
      </c>
      <c r="I82" s="56">
        <v>0</v>
      </c>
      <c r="J82" s="56">
        <v>0</v>
      </c>
      <c r="K82" s="56">
        <f t="shared" si="46"/>
        <v>0</v>
      </c>
      <c r="L82" s="84">
        <v>0</v>
      </c>
      <c r="M82" s="56">
        <v>0</v>
      </c>
      <c r="N82" s="56">
        <v>0</v>
      </c>
      <c r="O82" s="56">
        <v>0</v>
      </c>
      <c r="P82" s="56">
        <f t="shared" si="47"/>
        <v>0</v>
      </c>
      <c r="Q82" s="84">
        <v>0</v>
      </c>
      <c r="R82" s="56">
        <v>-1287</v>
      </c>
      <c r="S82" s="56"/>
      <c r="T82" s="56"/>
      <c r="U82" s="56">
        <v>0</v>
      </c>
      <c r="V82" s="84">
        <v>-1287</v>
      </c>
      <c r="W82" s="56">
        <v>0</v>
      </c>
      <c r="X82" s="56">
        <v>0</v>
      </c>
      <c r="Y82" s="56">
        <v>0</v>
      </c>
      <c r="Z82" s="56">
        <v>0</v>
      </c>
      <c r="AA82" s="84">
        <v>0</v>
      </c>
      <c r="AB82" s="56">
        <v>0</v>
      </c>
      <c r="AC82" s="56">
        <v>0</v>
      </c>
      <c r="AD82" s="56">
        <v>0</v>
      </c>
      <c r="AE82" s="56"/>
      <c r="AF82" s="84">
        <f t="shared" si="48"/>
        <v>0</v>
      </c>
      <c r="AG82" s="56">
        <v>0</v>
      </c>
      <c r="AH82" s="56">
        <v>0</v>
      </c>
      <c r="AI82" s="56">
        <v>0</v>
      </c>
      <c r="AJ82" s="56">
        <v>0</v>
      </c>
      <c r="AK82" s="84">
        <f t="shared" si="49"/>
        <v>0</v>
      </c>
      <c r="AL82" s="56">
        <v>0</v>
      </c>
      <c r="AM82" s="56">
        <v>0</v>
      </c>
      <c r="AN82" s="56"/>
      <c r="AO82" s="84">
        <f t="shared" si="50"/>
        <v>0</v>
      </c>
      <c r="AP82" s="82"/>
    </row>
    <row r="83" spans="2:42" x14ac:dyDescent="0.35">
      <c r="B83" s="83" t="s">
        <v>249</v>
      </c>
      <c r="C83" s="56"/>
      <c r="D83" s="56"/>
      <c r="E83" s="56"/>
      <c r="F83" s="56"/>
      <c r="G83" s="84"/>
      <c r="H83" s="56"/>
      <c r="I83" s="56"/>
      <c r="J83" s="56"/>
      <c r="K83" s="56"/>
      <c r="L83" s="84"/>
      <c r="M83" s="56"/>
      <c r="N83" s="56"/>
      <c r="O83" s="56"/>
      <c r="P83" s="56"/>
      <c r="Q83" s="84"/>
      <c r="R83" s="56"/>
      <c r="S83" s="56"/>
      <c r="T83" s="56"/>
      <c r="U83" s="56"/>
      <c r="V83" s="84"/>
      <c r="W83" s="56"/>
      <c r="X83" s="56"/>
      <c r="Y83" s="56"/>
      <c r="Z83" s="56"/>
      <c r="AA83" s="84"/>
      <c r="AB83" s="56"/>
      <c r="AC83" s="56"/>
      <c r="AD83" s="56"/>
      <c r="AE83" s="56"/>
      <c r="AF83" s="84"/>
      <c r="AG83" s="56"/>
      <c r="AH83" s="56"/>
      <c r="AI83" s="56"/>
      <c r="AJ83" s="56"/>
      <c r="AK83" s="84"/>
      <c r="AL83" s="56"/>
      <c r="AM83" s="56">
        <v>-141</v>
      </c>
      <c r="AN83" s="56">
        <v>-123</v>
      </c>
      <c r="AO83" s="84">
        <f t="shared" si="50"/>
        <v>-264</v>
      </c>
      <c r="AP83" s="82"/>
    </row>
    <row r="84" spans="2:42" x14ac:dyDescent="0.35">
      <c r="B84" s="77" t="s">
        <v>110</v>
      </c>
      <c r="C84" s="66">
        <f>SUM(C69:C82)</f>
        <v>-75</v>
      </c>
      <c r="D84" s="66">
        <f t="shared" ref="D84:U84" si="51">SUM(D69:D82)</f>
        <v>-592</v>
      </c>
      <c r="E84" s="66">
        <f t="shared" si="51"/>
        <v>-579</v>
      </c>
      <c r="F84" s="66">
        <f t="shared" si="51"/>
        <v>-694</v>
      </c>
      <c r="G84" s="88">
        <f t="shared" si="51"/>
        <v>-1940</v>
      </c>
      <c r="H84" s="66">
        <f t="shared" si="51"/>
        <v>-564</v>
      </c>
      <c r="I84" s="66">
        <f t="shared" si="51"/>
        <v>-462</v>
      </c>
      <c r="J84" s="66">
        <f t="shared" si="51"/>
        <v>-671</v>
      </c>
      <c r="K84" s="61">
        <f t="shared" si="51"/>
        <v>2828</v>
      </c>
      <c r="L84" s="87">
        <f t="shared" si="51"/>
        <v>1131</v>
      </c>
      <c r="M84" s="66">
        <f t="shared" si="51"/>
        <v>-250</v>
      </c>
      <c r="N84" s="66">
        <f t="shared" si="51"/>
        <v>-338</v>
      </c>
      <c r="O84" s="66">
        <f t="shared" si="51"/>
        <v>-756</v>
      </c>
      <c r="P84" s="61">
        <f t="shared" si="51"/>
        <v>209</v>
      </c>
      <c r="Q84" s="88">
        <f t="shared" ref="Q84" si="52">SUM(Q69:Q78)</f>
        <v>-1135</v>
      </c>
      <c r="R84" s="61">
        <f>SUM(R69:R82)</f>
        <v>6226</v>
      </c>
      <c r="S84" s="66">
        <f t="shared" si="51"/>
        <v>-571</v>
      </c>
      <c r="T84" s="66">
        <f t="shared" si="51"/>
        <v>-699</v>
      </c>
      <c r="U84" s="66">
        <f t="shared" si="51"/>
        <v>-799</v>
      </c>
      <c r="V84" s="88">
        <f t="shared" ref="V84:AA84" si="53">SUM(V69:V82)</f>
        <v>4157</v>
      </c>
      <c r="W84" s="61">
        <f t="shared" si="53"/>
        <v>-881</v>
      </c>
      <c r="X84" s="61">
        <f t="shared" si="53"/>
        <v>-652.35208671699741</v>
      </c>
      <c r="Y84" s="61">
        <f t="shared" si="53"/>
        <v>-782</v>
      </c>
      <c r="Z84" s="66">
        <f t="shared" si="53"/>
        <v>424.34273553928546</v>
      </c>
      <c r="AA84" s="88">
        <f t="shared" si="53"/>
        <v>-1891.0093511777118</v>
      </c>
      <c r="AB84" s="66">
        <f t="shared" ref="AB84:AG84" si="54">SUM(AB69:AB82)</f>
        <v>1143</v>
      </c>
      <c r="AC84" s="61">
        <f t="shared" ref="AC84:AE84" si="55">SUM(AC69:AC82)</f>
        <v>-851</v>
      </c>
      <c r="AD84" s="61">
        <f t="shared" si="55"/>
        <v>-1264</v>
      </c>
      <c r="AE84" s="61">
        <f t="shared" si="55"/>
        <v>-3223</v>
      </c>
      <c r="AF84" s="88">
        <f t="shared" si="54"/>
        <v>-4195</v>
      </c>
      <c r="AG84" s="61">
        <f t="shared" si="54"/>
        <v>-920</v>
      </c>
      <c r="AH84" s="61">
        <f t="shared" ref="AH84:AJ84" si="56">SUM(AH69:AH82)</f>
        <v>23</v>
      </c>
      <c r="AI84" s="61">
        <f t="shared" si="56"/>
        <v>-2495</v>
      </c>
      <c r="AJ84" s="61">
        <f t="shared" si="56"/>
        <v>-3021</v>
      </c>
      <c r="AK84" s="88">
        <f t="shared" ref="AK84" si="57">SUM(AK69:AK82)</f>
        <v>-6413</v>
      </c>
      <c r="AL84" s="61">
        <f>SUM(AL69:AL83)</f>
        <v>-25</v>
      </c>
      <c r="AM84" s="61">
        <f>SUM(AM69:AM83)</f>
        <v>-1964</v>
      </c>
      <c r="AN84" s="61">
        <f>SUM(AN69:AN83)</f>
        <v>-981</v>
      </c>
      <c r="AO84" s="88">
        <f t="shared" si="50"/>
        <v>-2970</v>
      </c>
      <c r="AP84" s="82"/>
    </row>
    <row r="85" spans="2:42" x14ac:dyDescent="0.35">
      <c r="B85" s="83"/>
      <c r="C85" s="56"/>
      <c r="D85" s="56"/>
      <c r="E85" s="56"/>
      <c r="F85" s="56"/>
      <c r="G85" s="84"/>
      <c r="H85" s="56"/>
      <c r="I85" s="56"/>
      <c r="J85" s="56"/>
      <c r="K85" s="56"/>
      <c r="L85" s="84"/>
      <c r="M85" s="56"/>
      <c r="N85" s="56"/>
      <c r="O85" s="56"/>
      <c r="P85" s="56"/>
      <c r="Q85" s="84"/>
      <c r="R85" s="56"/>
      <c r="S85" s="56"/>
      <c r="T85" s="56"/>
      <c r="U85" s="56"/>
      <c r="V85" s="84"/>
      <c r="W85" s="56"/>
      <c r="X85" s="56"/>
      <c r="Y85" s="56"/>
      <c r="Z85" s="56"/>
      <c r="AA85" s="84"/>
      <c r="AB85" s="56"/>
      <c r="AC85" s="56"/>
      <c r="AD85" s="56"/>
      <c r="AE85" s="56"/>
      <c r="AF85" s="84"/>
      <c r="AG85" s="56"/>
      <c r="AH85" s="56"/>
      <c r="AI85" s="56"/>
      <c r="AJ85" s="56"/>
      <c r="AK85" s="84"/>
      <c r="AL85" s="56"/>
      <c r="AM85" s="56"/>
      <c r="AN85" s="56"/>
      <c r="AO85" s="84"/>
      <c r="AP85" s="82"/>
    </row>
    <row r="86" spans="2:42" x14ac:dyDescent="0.35">
      <c r="B86" s="77" t="s">
        <v>111</v>
      </c>
      <c r="C86" s="56"/>
      <c r="D86" s="56"/>
      <c r="E86" s="56"/>
      <c r="F86" s="56"/>
      <c r="G86" s="84"/>
      <c r="H86" s="56"/>
      <c r="I86" s="56"/>
      <c r="J86" s="56"/>
      <c r="K86" s="56"/>
      <c r="L86" s="84"/>
      <c r="M86" s="56"/>
      <c r="N86" s="56"/>
      <c r="O86" s="56"/>
      <c r="P86" s="56"/>
      <c r="Q86" s="84"/>
      <c r="R86" s="56"/>
      <c r="S86" s="56"/>
      <c r="T86" s="56"/>
      <c r="U86" s="56"/>
      <c r="V86" s="84"/>
      <c r="W86" s="56"/>
      <c r="X86" s="56"/>
      <c r="Y86" s="56"/>
      <c r="Z86" s="56"/>
      <c r="AA86" s="84"/>
      <c r="AB86" s="56"/>
      <c r="AC86" s="56"/>
      <c r="AD86" s="56"/>
      <c r="AE86" s="56"/>
      <c r="AF86" s="84"/>
      <c r="AG86" s="56"/>
      <c r="AH86" s="56"/>
      <c r="AI86" s="56"/>
      <c r="AJ86" s="56"/>
      <c r="AK86" s="84"/>
      <c r="AL86" s="56"/>
      <c r="AM86" s="56"/>
      <c r="AN86" s="56"/>
      <c r="AO86" s="84"/>
      <c r="AP86" s="82"/>
    </row>
    <row r="87" spans="2:42" x14ac:dyDescent="0.35">
      <c r="B87" s="83" t="s">
        <v>112</v>
      </c>
      <c r="C87" s="56">
        <v>1374</v>
      </c>
      <c r="D87" s="56">
        <f>1992-C87</f>
        <v>618</v>
      </c>
      <c r="E87" s="56">
        <f>3030-D87-C87</f>
        <v>1038</v>
      </c>
      <c r="F87" s="56">
        <f t="shared" ref="F87:F94" si="58">G87-SUM(C87:E87)</f>
        <v>3132</v>
      </c>
      <c r="G87" s="84">
        <v>6162</v>
      </c>
      <c r="H87" s="56">
        <v>1211</v>
      </c>
      <c r="I87" s="56">
        <f>3568-H87</f>
        <v>2357</v>
      </c>
      <c r="J87" s="56">
        <f>4393-H87-I87</f>
        <v>825</v>
      </c>
      <c r="K87" s="56">
        <f>L87-SUM(H87:J87)</f>
        <v>1006</v>
      </c>
      <c r="L87" s="84">
        <v>5399</v>
      </c>
      <c r="M87" s="56">
        <v>595</v>
      </c>
      <c r="N87" s="56">
        <f>2088-M87</f>
        <v>1493</v>
      </c>
      <c r="O87" s="56">
        <f>2924-M87-N87</f>
        <v>836</v>
      </c>
      <c r="P87" s="56">
        <f t="shared" ref="P87:P94" si="59">Q87-SUM(M87:O87)</f>
        <v>715</v>
      </c>
      <c r="Q87" s="84">
        <v>3639</v>
      </c>
      <c r="R87" s="56">
        <v>289</v>
      </c>
      <c r="S87" s="56">
        <v>2010</v>
      </c>
      <c r="T87" s="56">
        <v>674</v>
      </c>
      <c r="U87" s="56">
        <v>1350</v>
      </c>
      <c r="V87" s="84">
        <v>4323</v>
      </c>
      <c r="W87" s="56">
        <v>3625</v>
      </c>
      <c r="X87" s="56">
        <v>5782</v>
      </c>
      <c r="Y87" s="56">
        <v>562</v>
      </c>
      <c r="Z87" s="56">
        <v>1803</v>
      </c>
      <c r="AA87" s="84">
        <v>11772</v>
      </c>
      <c r="AB87" s="56">
        <v>1149</v>
      </c>
      <c r="AC87" s="56">
        <v>1355</v>
      </c>
      <c r="AD87" s="56">
        <v>1029</v>
      </c>
      <c r="AE87" s="56">
        <v>881</v>
      </c>
      <c r="AF87" s="84">
        <f t="shared" ref="AF87:AF94" si="60">SUM(AB87:AE87)</f>
        <v>4414</v>
      </c>
      <c r="AG87" s="56">
        <v>776</v>
      </c>
      <c r="AH87" s="56">
        <v>2658</v>
      </c>
      <c r="AI87" s="56">
        <v>953</v>
      </c>
      <c r="AJ87" s="56">
        <v>80</v>
      </c>
      <c r="AK87" s="84">
        <f t="shared" ref="AK87:AK94" si="61">SUM(AG87:AJ87)</f>
        <v>4467</v>
      </c>
      <c r="AL87" s="56">
        <v>1522</v>
      </c>
      <c r="AM87" s="56">
        <v>675</v>
      </c>
      <c r="AN87" s="56">
        <v>1305</v>
      </c>
      <c r="AO87" s="84">
        <f t="shared" ref="AO87:AO95" si="62">SUM(AL87:AN87)</f>
        <v>3502</v>
      </c>
      <c r="AP87" s="82"/>
    </row>
    <row r="88" spans="2:42" x14ac:dyDescent="0.35">
      <c r="B88" s="83" t="s">
        <v>113</v>
      </c>
      <c r="C88" s="56">
        <v>-3203</v>
      </c>
      <c r="D88" s="56">
        <f>-3927-C88</f>
        <v>-724</v>
      </c>
      <c r="E88" s="56">
        <f>-4664-D88-C88</f>
        <v>-737</v>
      </c>
      <c r="F88" s="56">
        <f t="shared" si="58"/>
        <v>-2712</v>
      </c>
      <c r="G88" s="84">
        <v>-7376</v>
      </c>
      <c r="H88" s="56">
        <v>-1083</v>
      </c>
      <c r="I88" s="56">
        <f>-2874-H88</f>
        <v>-1791</v>
      </c>
      <c r="J88" s="56">
        <f>-3818-I88-H88</f>
        <v>-944</v>
      </c>
      <c r="K88" s="56">
        <f>L88-SUM(H88:J88)</f>
        <v>-2063</v>
      </c>
      <c r="L88" s="84">
        <v>-5881</v>
      </c>
      <c r="M88" s="56">
        <v>-1961</v>
      </c>
      <c r="N88" s="56">
        <f>-3846-M88</f>
        <v>-1885</v>
      </c>
      <c r="O88" s="56">
        <f>-4812-M88-N88</f>
        <v>-966</v>
      </c>
      <c r="P88" s="56">
        <f t="shared" si="59"/>
        <v>-720</v>
      </c>
      <c r="Q88" s="84">
        <v>-5532</v>
      </c>
      <c r="R88" s="56">
        <v>-4372</v>
      </c>
      <c r="S88" s="56">
        <v>-2522</v>
      </c>
      <c r="T88" s="56">
        <v>-1263</v>
      </c>
      <c r="U88" s="56">
        <v>-1199</v>
      </c>
      <c r="V88" s="84">
        <v>-9356</v>
      </c>
      <c r="W88" s="56">
        <v>-1299</v>
      </c>
      <c r="X88" s="56">
        <v>-3506</v>
      </c>
      <c r="Y88" s="56">
        <v>-2107</v>
      </c>
      <c r="Z88" s="56">
        <v>-3934</v>
      </c>
      <c r="AA88" s="84">
        <v>-10846</v>
      </c>
      <c r="AB88" s="56">
        <v>-1157</v>
      </c>
      <c r="AC88" s="56">
        <v>-2239</v>
      </c>
      <c r="AD88" s="56">
        <v>-1442</v>
      </c>
      <c r="AE88" s="56">
        <v>-1941</v>
      </c>
      <c r="AF88" s="84">
        <f t="shared" si="60"/>
        <v>-6779</v>
      </c>
      <c r="AG88" s="56">
        <v>-807</v>
      </c>
      <c r="AH88" s="56">
        <v>-2182</v>
      </c>
      <c r="AI88" s="56">
        <v>-1722</v>
      </c>
      <c r="AJ88" s="56">
        <v>-407</v>
      </c>
      <c r="AK88" s="84">
        <f t="shared" si="61"/>
        <v>-5118</v>
      </c>
      <c r="AL88" s="56">
        <v>-45</v>
      </c>
      <c r="AM88" s="56">
        <v>-223</v>
      </c>
      <c r="AN88" s="56">
        <v>-525</v>
      </c>
      <c r="AO88" s="84">
        <f t="shared" si="62"/>
        <v>-793</v>
      </c>
      <c r="AP88" s="82"/>
    </row>
    <row r="89" spans="2:42" x14ac:dyDescent="0.35">
      <c r="B89" s="83" t="s">
        <v>251</v>
      </c>
      <c r="C89" s="56"/>
      <c r="D89" s="56"/>
      <c r="E89" s="56"/>
      <c r="F89" s="56"/>
      <c r="G89" s="84"/>
      <c r="H89" s="56"/>
      <c r="I89" s="56"/>
      <c r="J89" s="56"/>
      <c r="K89" s="56"/>
      <c r="L89" s="84"/>
      <c r="M89" s="56"/>
      <c r="N89" s="56"/>
      <c r="O89" s="56"/>
      <c r="P89" s="56"/>
      <c r="Q89" s="84"/>
      <c r="R89" s="56"/>
      <c r="S89" s="56"/>
      <c r="T89" s="56"/>
      <c r="U89" s="56"/>
      <c r="V89" s="84"/>
      <c r="W89" s="56"/>
      <c r="X89" s="56"/>
      <c r="Y89" s="56"/>
      <c r="Z89" s="56"/>
      <c r="AA89" s="84"/>
      <c r="AB89" s="56"/>
      <c r="AC89" s="56"/>
      <c r="AD89" s="56"/>
      <c r="AE89" s="56"/>
      <c r="AF89" s="84"/>
      <c r="AG89" s="56"/>
      <c r="AH89" s="56"/>
      <c r="AI89" s="56"/>
      <c r="AJ89" s="56"/>
      <c r="AK89" s="84"/>
      <c r="AL89" s="56"/>
      <c r="AM89" s="56"/>
      <c r="AN89" s="56">
        <v>-97</v>
      </c>
      <c r="AO89" s="84">
        <f t="shared" si="62"/>
        <v>-97</v>
      </c>
      <c r="AP89" s="82"/>
    </row>
    <row r="90" spans="2:42" x14ac:dyDescent="0.35">
      <c r="B90" s="85" t="s">
        <v>168</v>
      </c>
      <c r="C90" s="67">
        <v>0</v>
      </c>
      <c r="D90" s="67">
        <v>0</v>
      </c>
      <c r="E90" s="67">
        <v>0</v>
      </c>
      <c r="F90" s="67">
        <v>0</v>
      </c>
      <c r="G90" s="84">
        <v>0</v>
      </c>
      <c r="H90" s="67">
        <v>0</v>
      </c>
      <c r="I90" s="67">
        <v>0</v>
      </c>
      <c r="J90" s="67">
        <v>0</v>
      </c>
      <c r="K90" s="67">
        <v>0</v>
      </c>
      <c r="L90" s="84">
        <v>0</v>
      </c>
      <c r="M90" s="67">
        <v>0</v>
      </c>
      <c r="N90" s="67">
        <v>0</v>
      </c>
      <c r="O90" s="67">
        <v>0</v>
      </c>
      <c r="P90" s="67">
        <v>0</v>
      </c>
      <c r="Q90" s="84">
        <v>0</v>
      </c>
      <c r="R90" s="56">
        <v>-52</v>
      </c>
      <c r="S90" s="56">
        <v>-32</v>
      </c>
      <c r="T90" s="56">
        <v>-55</v>
      </c>
      <c r="U90" s="56">
        <v>-78</v>
      </c>
      <c r="V90" s="84">
        <v>-217</v>
      </c>
      <c r="W90" s="56">
        <v>-65</v>
      </c>
      <c r="X90" s="56">
        <v>-47</v>
      </c>
      <c r="Y90" s="56">
        <v>-66</v>
      </c>
      <c r="Z90" s="56">
        <v>-73</v>
      </c>
      <c r="AA90" s="84">
        <v>-251</v>
      </c>
      <c r="AB90" s="56">
        <v>-66</v>
      </c>
      <c r="AC90" s="56">
        <v>-135</v>
      </c>
      <c r="AD90" s="56">
        <v>-66</v>
      </c>
      <c r="AE90" s="56">
        <v>-96</v>
      </c>
      <c r="AF90" s="84">
        <f t="shared" si="60"/>
        <v>-363</v>
      </c>
      <c r="AG90" s="56">
        <v>-67</v>
      </c>
      <c r="AH90" s="56">
        <v>-65</v>
      </c>
      <c r="AI90" s="56">
        <v>-216</v>
      </c>
      <c r="AJ90" s="56">
        <v>-64</v>
      </c>
      <c r="AK90" s="84">
        <f t="shared" si="61"/>
        <v>-412</v>
      </c>
      <c r="AL90" s="56">
        <v>-89</v>
      </c>
      <c r="AM90" s="56">
        <v>-59</v>
      </c>
      <c r="AN90" s="56">
        <v>-94</v>
      </c>
      <c r="AO90" s="84">
        <f t="shared" si="62"/>
        <v>-242</v>
      </c>
      <c r="AP90" s="82"/>
    </row>
    <row r="91" spans="2:42" x14ac:dyDescent="0.35">
      <c r="B91" s="83" t="s">
        <v>83</v>
      </c>
      <c r="C91" s="56">
        <v>-23</v>
      </c>
      <c r="D91" s="56">
        <f>-133-C91</f>
        <v>-110</v>
      </c>
      <c r="E91" s="56">
        <f>-251-D91-C91</f>
        <v>-118</v>
      </c>
      <c r="F91" s="56">
        <f t="shared" si="58"/>
        <v>-120</v>
      </c>
      <c r="G91" s="84">
        <v>-371</v>
      </c>
      <c r="H91" s="56">
        <v>-81</v>
      </c>
      <c r="I91" s="56">
        <f>-115-H91</f>
        <v>-34</v>
      </c>
      <c r="J91" s="56">
        <f>-211-I91-H91</f>
        <v>-96</v>
      </c>
      <c r="K91" s="56">
        <f>L91-SUM(H91:J91)</f>
        <v>-350</v>
      </c>
      <c r="L91" s="84">
        <v>-561</v>
      </c>
      <c r="M91" s="56">
        <v>-50</v>
      </c>
      <c r="N91" s="56">
        <f>-7-M91</f>
        <v>43</v>
      </c>
      <c r="O91" s="56">
        <f>-12-M91-N91</f>
        <v>-5</v>
      </c>
      <c r="P91" s="56">
        <f t="shared" si="59"/>
        <v>1</v>
      </c>
      <c r="Q91" s="84">
        <v>-11</v>
      </c>
      <c r="R91" s="56">
        <v>60</v>
      </c>
      <c r="S91" s="56">
        <v>-68</v>
      </c>
      <c r="T91" s="56">
        <v>14</v>
      </c>
      <c r="U91" s="56">
        <v>-13</v>
      </c>
      <c r="V91" s="84">
        <v>-7</v>
      </c>
      <c r="W91" s="56">
        <v>103</v>
      </c>
      <c r="X91" s="56">
        <v>-35</v>
      </c>
      <c r="Y91" s="56">
        <v>11</v>
      </c>
      <c r="Z91" s="56">
        <v>-24</v>
      </c>
      <c r="AA91" s="84">
        <v>55</v>
      </c>
      <c r="AB91" s="56">
        <v>34</v>
      </c>
      <c r="AC91" s="56">
        <v>-2</v>
      </c>
      <c r="AD91" s="56">
        <v>-74</v>
      </c>
      <c r="AE91" s="56">
        <v>84</v>
      </c>
      <c r="AF91" s="84">
        <f t="shared" si="60"/>
        <v>42</v>
      </c>
      <c r="AG91" s="56">
        <v>-32</v>
      </c>
      <c r="AH91" s="56">
        <v>28</v>
      </c>
      <c r="AI91" s="56">
        <v>-44</v>
      </c>
      <c r="AJ91" s="56">
        <v>-122</v>
      </c>
      <c r="AK91" s="84">
        <f t="shared" si="61"/>
        <v>-170</v>
      </c>
      <c r="AL91" s="56">
        <v>-51</v>
      </c>
      <c r="AM91" s="56">
        <v>130</v>
      </c>
      <c r="AN91" s="56">
        <v>-1</v>
      </c>
      <c r="AO91" s="84">
        <f t="shared" si="62"/>
        <v>78</v>
      </c>
      <c r="AP91" s="82"/>
    </row>
    <row r="92" spans="2:42" x14ac:dyDescent="0.35">
      <c r="B92" s="85" t="s">
        <v>127</v>
      </c>
      <c r="C92" s="56">
        <v>0</v>
      </c>
      <c r="D92" s="56">
        <v>0</v>
      </c>
      <c r="E92" s="56">
        <v>0</v>
      </c>
      <c r="F92" s="56">
        <v>0</v>
      </c>
      <c r="G92" s="84">
        <v>0</v>
      </c>
      <c r="H92" s="56">
        <v>0</v>
      </c>
      <c r="I92" s="56">
        <v>0</v>
      </c>
      <c r="J92" s="56">
        <v>0</v>
      </c>
      <c r="K92" s="56">
        <v>0</v>
      </c>
      <c r="L92" s="84">
        <v>0</v>
      </c>
      <c r="M92" s="56">
        <v>-95</v>
      </c>
      <c r="N92" s="56">
        <f>-95-M92</f>
        <v>0</v>
      </c>
      <c r="O92" s="56">
        <f>-95-M92-N92</f>
        <v>0</v>
      </c>
      <c r="P92" s="56">
        <f t="shared" si="59"/>
        <v>0</v>
      </c>
      <c r="Q92" s="84">
        <v>-95</v>
      </c>
      <c r="R92" s="56">
        <v>0</v>
      </c>
      <c r="S92" s="56">
        <v>0</v>
      </c>
      <c r="T92" s="56">
        <v>0</v>
      </c>
      <c r="U92" s="56">
        <v>0</v>
      </c>
      <c r="V92" s="84">
        <v>0</v>
      </c>
      <c r="W92" s="56">
        <v>0</v>
      </c>
      <c r="X92" s="56">
        <v>0</v>
      </c>
      <c r="Y92" s="56">
        <v>0</v>
      </c>
      <c r="Z92" s="56">
        <v>0</v>
      </c>
      <c r="AA92" s="84">
        <v>0</v>
      </c>
      <c r="AB92" s="56">
        <v>0</v>
      </c>
      <c r="AC92" s="56">
        <v>0</v>
      </c>
      <c r="AD92" s="56">
        <v>0</v>
      </c>
      <c r="AE92" s="56"/>
      <c r="AF92" s="84">
        <f t="shared" si="60"/>
        <v>0</v>
      </c>
      <c r="AG92" s="56">
        <v>0</v>
      </c>
      <c r="AH92" s="56">
        <v>0</v>
      </c>
      <c r="AI92" s="56">
        <v>0</v>
      </c>
      <c r="AJ92" s="56">
        <v>0</v>
      </c>
      <c r="AK92" s="84">
        <f t="shared" si="61"/>
        <v>0</v>
      </c>
      <c r="AL92" s="56">
        <v>0</v>
      </c>
      <c r="AM92" s="56">
        <v>0</v>
      </c>
      <c r="AN92" s="56"/>
      <c r="AO92" s="84">
        <f t="shared" si="62"/>
        <v>0</v>
      </c>
      <c r="AP92" s="82"/>
    </row>
    <row r="93" spans="2:42" x14ac:dyDescent="0.35">
      <c r="B93" s="85" t="s">
        <v>207</v>
      </c>
      <c r="C93" s="56">
        <v>0</v>
      </c>
      <c r="D93" s="56">
        <v>0</v>
      </c>
      <c r="E93" s="56">
        <v>0</v>
      </c>
      <c r="F93" s="56">
        <v>0</v>
      </c>
      <c r="G93" s="84">
        <v>0</v>
      </c>
      <c r="H93" s="56">
        <v>0</v>
      </c>
      <c r="I93" s="56">
        <v>0</v>
      </c>
      <c r="J93" s="56">
        <v>0</v>
      </c>
      <c r="K93" s="56">
        <v>0</v>
      </c>
      <c r="L93" s="84">
        <v>0</v>
      </c>
      <c r="M93" s="56">
        <v>0</v>
      </c>
      <c r="N93" s="56">
        <v>0</v>
      </c>
      <c r="O93" s="56">
        <v>0</v>
      </c>
      <c r="P93" s="56">
        <v>0</v>
      </c>
      <c r="Q93" s="84">
        <v>0</v>
      </c>
      <c r="R93" s="56">
        <v>0</v>
      </c>
      <c r="S93" s="56">
        <v>0</v>
      </c>
      <c r="T93" s="56">
        <v>0</v>
      </c>
      <c r="U93" s="56">
        <v>0</v>
      </c>
      <c r="V93" s="84">
        <v>0</v>
      </c>
      <c r="W93" s="56">
        <v>0</v>
      </c>
      <c r="X93" s="56">
        <v>0</v>
      </c>
      <c r="Y93" s="56">
        <v>0</v>
      </c>
      <c r="Z93" s="56">
        <v>0</v>
      </c>
      <c r="AA93" s="84">
        <v>0</v>
      </c>
      <c r="AB93" s="56">
        <v>0</v>
      </c>
      <c r="AC93" s="56">
        <v>0</v>
      </c>
      <c r="AD93" s="56">
        <v>657</v>
      </c>
      <c r="AE93" s="56">
        <v>0</v>
      </c>
      <c r="AF93" s="84">
        <f t="shared" si="60"/>
        <v>657</v>
      </c>
      <c r="AG93" s="56">
        <v>0</v>
      </c>
      <c r="AH93" s="56">
        <v>0</v>
      </c>
      <c r="AI93" s="56">
        <v>0</v>
      </c>
      <c r="AJ93" s="56">
        <v>0</v>
      </c>
      <c r="AK93" s="84">
        <f t="shared" si="61"/>
        <v>0</v>
      </c>
      <c r="AL93" s="56">
        <v>0</v>
      </c>
      <c r="AM93" s="56">
        <v>0</v>
      </c>
      <c r="AN93" s="56"/>
      <c r="AO93" s="84">
        <f t="shared" si="62"/>
        <v>0</v>
      </c>
      <c r="AP93" s="82"/>
    </row>
    <row r="94" spans="2:42" x14ac:dyDescent="0.35">
      <c r="B94" s="83" t="s">
        <v>114</v>
      </c>
      <c r="C94" s="56">
        <v>-5</v>
      </c>
      <c r="D94" s="56">
        <f>-71-C94</f>
        <v>-66</v>
      </c>
      <c r="E94" s="56">
        <f>-76-D94-C94</f>
        <v>-5</v>
      </c>
      <c r="F94" s="56">
        <f t="shared" si="58"/>
        <v>-29</v>
      </c>
      <c r="G94" s="84">
        <v>-105</v>
      </c>
      <c r="H94" s="56">
        <v>-4</v>
      </c>
      <c r="I94" s="56">
        <f>-160-H94</f>
        <v>-156</v>
      </c>
      <c r="J94" s="56">
        <f>-194-H94-I94</f>
        <v>-34</v>
      </c>
      <c r="K94" s="56">
        <f>L94-SUM(H94:J94)</f>
        <v>-165</v>
      </c>
      <c r="L94" s="84">
        <v>-359</v>
      </c>
      <c r="M94" s="56">
        <v>-8</v>
      </c>
      <c r="N94" s="56">
        <f>-538-M94</f>
        <v>-530</v>
      </c>
      <c r="O94" s="56">
        <f>-781-25-M94-N94</f>
        <v>-268</v>
      </c>
      <c r="P94" s="56">
        <f t="shared" si="59"/>
        <v>-44</v>
      </c>
      <c r="Q94" s="84">
        <f>-789-61</f>
        <v>-850</v>
      </c>
      <c r="R94" s="56">
        <v>-1139</v>
      </c>
      <c r="S94" s="56">
        <v>-28</v>
      </c>
      <c r="T94" s="56">
        <v>-445</v>
      </c>
      <c r="U94" s="56">
        <v>-27</v>
      </c>
      <c r="V94" s="84">
        <v>-1639</v>
      </c>
      <c r="W94" s="56">
        <v>-490</v>
      </c>
      <c r="X94" s="56">
        <v>-70</v>
      </c>
      <c r="Y94" s="56">
        <v>-7</v>
      </c>
      <c r="Z94" s="56">
        <v>-474</v>
      </c>
      <c r="AA94" s="84">
        <v>-1041</v>
      </c>
      <c r="AB94" s="56">
        <v>-583</v>
      </c>
      <c r="AC94" s="56">
        <v>-16</v>
      </c>
      <c r="AD94" s="56">
        <v>-520</v>
      </c>
      <c r="AE94" s="56">
        <v>-13</v>
      </c>
      <c r="AF94" s="84">
        <f t="shared" si="60"/>
        <v>-1132</v>
      </c>
      <c r="AG94" s="56">
        <v>-845</v>
      </c>
      <c r="AH94" s="56">
        <v>-105</v>
      </c>
      <c r="AI94" s="56">
        <v>-720</v>
      </c>
      <c r="AJ94" s="56">
        <v>-175</v>
      </c>
      <c r="AK94" s="84">
        <f t="shared" si="61"/>
        <v>-1845</v>
      </c>
      <c r="AL94" s="56">
        <v>-718</v>
      </c>
      <c r="AM94" s="56">
        <v>-1</v>
      </c>
      <c r="AN94" s="56">
        <v>-695</v>
      </c>
      <c r="AO94" s="84">
        <f t="shared" si="62"/>
        <v>-1414</v>
      </c>
      <c r="AP94" s="82"/>
    </row>
    <row r="95" spans="2:42" x14ac:dyDescent="0.35">
      <c r="B95" s="77" t="s">
        <v>115</v>
      </c>
      <c r="C95" s="66">
        <f t="shared" ref="C95:R95" si="63">SUM(C87:C94)</f>
        <v>-1857</v>
      </c>
      <c r="D95" s="66">
        <f t="shared" si="63"/>
        <v>-282</v>
      </c>
      <c r="E95" s="61">
        <f t="shared" si="63"/>
        <v>178</v>
      </c>
      <c r="F95" s="61">
        <f t="shared" si="63"/>
        <v>271</v>
      </c>
      <c r="G95" s="88">
        <f t="shared" si="63"/>
        <v>-1690</v>
      </c>
      <c r="H95" s="61">
        <f t="shared" si="63"/>
        <v>43</v>
      </c>
      <c r="I95" s="61">
        <f t="shared" si="63"/>
        <v>376</v>
      </c>
      <c r="J95" s="66">
        <f t="shared" si="63"/>
        <v>-249</v>
      </c>
      <c r="K95" s="66">
        <f t="shared" si="63"/>
        <v>-1572</v>
      </c>
      <c r="L95" s="88">
        <f t="shared" si="63"/>
        <v>-1402</v>
      </c>
      <c r="M95" s="66">
        <f t="shared" si="63"/>
        <v>-1519</v>
      </c>
      <c r="N95" s="66">
        <f t="shared" si="63"/>
        <v>-879</v>
      </c>
      <c r="O95" s="66">
        <f t="shared" si="63"/>
        <v>-403</v>
      </c>
      <c r="P95" s="66">
        <f t="shared" si="63"/>
        <v>-48</v>
      </c>
      <c r="Q95" s="88">
        <f t="shared" si="63"/>
        <v>-2849</v>
      </c>
      <c r="R95" s="66">
        <f t="shared" si="63"/>
        <v>-5214</v>
      </c>
      <c r="S95" s="66">
        <f t="shared" ref="S95:U95" si="64">SUM(S87:S94)</f>
        <v>-640</v>
      </c>
      <c r="T95" s="66">
        <f t="shared" si="64"/>
        <v>-1075</v>
      </c>
      <c r="U95" s="66">
        <f t="shared" si="64"/>
        <v>33</v>
      </c>
      <c r="V95" s="88">
        <f t="shared" ref="V95:X95" si="65">SUM(V87:V94)</f>
        <v>-6896</v>
      </c>
      <c r="W95" s="66">
        <f t="shared" si="65"/>
        <v>1874</v>
      </c>
      <c r="X95" s="66">
        <f t="shared" si="65"/>
        <v>2124</v>
      </c>
      <c r="Y95" s="66">
        <f t="shared" ref="Y95:AA95" si="66">SUM(Y87:Y94)</f>
        <v>-1607</v>
      </c>
      <c r="Z95" s="66">
        <f t="shared" si="66"/>
        <v>-2702</v>
      </c>
      <c r="AA95" s="88">
        <f t="shared" si="66"/>
        <v>-311</v>
      </c>
      <c r="AB95" s="66">
        <f t="shared" ref="AB95:AF95" si="67">SUM(AB87:AB94)</f>
        <v>-623</v>
      </c>
      <c r="AC95" s="66">
        <f t="shared" ref="AC95:AD95" si="68">SUM(AC87:AC94)</f>
        <v>-1037</v>
      </c>
      <c r="AD95" s="66">
        <f t="shared" si="68"/>
        <v>-416</v>
      </c>
      <c r="AE95" s="66">
        <f t="shared" ref="AE95:AL95" si="69">SUM(AE87:AE94)</f>
        <v>-1085</v>
      </c>
      <c r="AF95" s="88">
        <f t="shared" si="67"/>
        <v>-3161</v>
      </c>
      <c r="AG95" s="66">
        <f t="shared" si="69"/>
        <v>-975</v>
      </c>
      <c r="AH95" s="66">
        <f t="shared" ref="AH95:AJ95" si="70">SUM(AH87:AH94)</f>
        <v>334</v>
      </c>
      <c r="AI95" s="66">
        <f t="shared" si="70"/>
        <v>-1749</v>
      </c>
      <c r="AJ95" s="66">
        <f t="shared" si="70"/>
        <v>-688</v>
      </c>
      <c r="AK95" s="88">
        <f t="shared" si="69"/>
        <v>-3078</v>
      </c>
      <c r="AL95" s="66">
        <f t="shared" si="69"/>
        <v>619</v>
      </c>
      <c r="AM95" s="66">
        <f t="shared" ref="AM95" si="71">SUM(AM87:AM94)</f>
        <v>522</v>
      </c>
      <c r="AN95" s="66">
        <f t="shared" ref="AN95" si="72">SUM(AN87:AN94)</f>
        <v>-107</v>
      </c>
      <c r="AO95" s="88">
        <f t="shared" si="62"/>
        <v>1034</v>
      </c>
      <c r="AP95" s="82"/>
    </row>
    <row r="96" spans="2:42" x14ac:dyDescent="0.35">
      <c r="B96" s="83"/>
      <c r="C96" s="56"/>
      <c r="D96" s="56"/>
      <c r="E96" s="56"/>
      <c r="F96" s="56"/>
      <c r="G96" s="84"/>
      <c r="H96" s="56"/>
      <c r="I96" s="56"/>
      <c r="J96" s="56"/>
      <c r="K96" s="56"/>
      <c r="L96" s="84"/>
      <c r="M96" s="56"/>
      <c r="N96" s="56"/>
      <c r="O96" s="56"/>
      <c r="P96" s="56"/>
      <c r="Q96" s="84"/>
      <c r="R96" s="56"/>
      <c r="S96" s="56"/>
      <c r="T96" s="56"/>
      <c r="U96" s="56"/>
      <c r="V96" s="84"/>
      <c r="W96" s="56"/>
      <c r="X96" s="56"/>
      <c r="Y96" s="56"/>
      <c r="Z96" s="56"/>
      <c r="AA96" s="84"/>
      <c r="AB96" s="56"/>
      <c r="AC96" s="56"/>
      <c r="AD96" s="56"/>
      <c r="AE96" s="56"/>
      <c r="AF96" s="84"/>
      <c r="AG96" s="56"/>
      <c r="AH96" s="56"/>
      <c r="AI96" s="56"/>
      <c r="AJ96" s="56"/>
      <c r="AK96" s="84"/>
      <c r="AL96" s="56"/>
      <c r="AM96" s="56"/>
      <c r="AN96" s="56"/>
      <c r="AO96" s="84"/>
      <c r="AP96" s="82"/>
    </row>
    <row r="97" spans="1:42" x14ac:dyDescent="0.35">
      <c r="B97" s="83" t="s">
        <v>116</v>
      </c>
      <c r="C97" s="57">
        <f t="shared" ref="C97:R97" si="73">C66+C84+C95</f>
        <v>-678</v>
      </c>
      <c r="D97" s="57">
        <f t="shared" si="73"/>
        <v>11</v>
      </c>
      <c r="E97" s="57">
        <f t="shared" si="73"/>
        <v>-367</v>
      </c>
      <c r="F97" s="57">
        <f t="shared" si="73"/>
        <v>2196</v>
      </c>
      <c r="G97" s="89">
        <f t="shared" si="73"/>
        <v>1162</v>
      </c>
      <c r="H97" s="57">
        <f t="shared" si="73"/>
        <v>-1009</v>
      </c>
      <c r="I97" s="57">
        <f t="shared" si="73"/>
        <v>143</v>
      </c>
      <c r="J97" s="57">
        <f t="shared" si="73"/>
        <v>-332</v>
      </c>
      <c r="K97" s="57">
        <f t="shared" si="73"/>
        <v>3038</v>
      </c>
      <c r="L97" s="89">
        <f t="shared" si="73"/>
        <v>1840</v>
      </c>
      <c r="M97" s="57">
        <f t="shared" si="73"/>
        <v>-2299</v>
      </c>
      <c r="N97" s="57">
        <f t="shared" si="73"/>
        <v>-390</v>
      </c>
      <c r="O97" s="57">
        <f t="shared" si="73"/>
        <v>-544</v>
      </c>
      <c r="P97" s="57">
        <f t="shared" si="73"/>
        <v>1264</v>
      </c>
      <c r="Q97" s="89">
        <f t="shared" si="73"/>
        <v>-1969</v>
      </c>
      <c r="R97" s="57">
        <f t="shared" si="73"/>
        <v>-704</v>
      </c>
      <c r="S97" s="57">
        <f t="shared" ref="S97:U97" si="74">S66+S84+S95</f>
        <v>-1892</v>
      </c>
      <c r="T97" s="57">
        <f t="shared" si="74"/>
        <v>601</v>
      </c>
      <c r="U97" s="57">
        <f t="shared" si="74"/>
        <v>353</v>
      </c>
      <c r="V97" s="89">
        <f t="shared" ref="V97:X97" si="75">V66+V84+V95</f>
        <v>-1642</v>
      </c>
      <c r="W97" s="57">
        <f t="shared" si="75"/>
        <v>-578</v>
      </c>
      <c r="X97" s="57">
        <f t="shared" si="75"/>
        <v>2033.9187913207825</v>
      </c>
      <c r="Y97" s="57">
        <f t="shared" ref="Y97:AA97" si="76">Y66+Y84+Y95</f>
        <v>568</v>
      </c>
      <c r="Z97" s="57">
        <f t="shared" si="76"/>
        <v>206.69737696800075</v>
      </c>
      <c r="AA97" s="89">
        <f t="shared" si="76"/>
        <v>2230.6161682887828</v>
      </c>
      <c r="AB97" s="57">
        <f>AB66+AB84+AB95</f>
        <v>1260</v>
      </c>
      <c r="AC97" s="57">
        <f t="shared" ref="AC97:AD97" si="77">AC66+AC84+AC95</f>
        <v>-21</v>
      </c>
      <c r="AD97" s="57">
        <f t="shared" si="77"/>
        <v>1617</v>
      </c>
      <c r="AE97" s="57">
        <f t="shared" ref="AE97:AL97" si="78">AE66+AE84+AE95</f>
        <v>956</v>
      </c>
      <c r="AF97" s="89">
        <f>SUM(AB97:AE97)</f>
        <v>3812</v>
      </c>
      <c r="AG97" s="57">
        <f t="shared" si="78"/>
        <v>-3045</v>
      </c>
      <c r="AH97" s="57">
        <f t="shared" ref="AH97:AJ97" si="79">AH66+AH84+AH95</f>
        <v>2036</v>
      </c>
      <c r="AI97" s="57">
        <f t="shared" si="79"/>
        <v>-1678</v>
      </c>
      <c r="AJ97" s="57">
        <f t="shared" si="79"/>
        <v>-71</v>
      </c>
      <c r="AK97" s="89">
        <f t="shared" si="78"/>
        <v>-2758</v>
      </c>
      <c r="AL97" s="57">
        <f t="shared" si="78"/>
        <v>-2226</v>
      </c>
      <c r="AM97" s="57">
        <f t="shared" ref="AM97:AN97" si="80">AM66+AM84+AM95</f>
        <v>699</v>
      </c>
      <c r="AN97" s="57">
        <f t="shared" si="80"/>
        <v>1886</v>
      </c>
      <c r="AO97" s="89">
        <f t="shared" ref="AO97:AO103" si="81">SUM(AL97:AN97)</f>
        <v>359</v>
      </c>
      <c r="AP97" s="82"/>
    </row>
    <row r="98" spans="1:42" x14ac:dyDescent="0.35">
      <c r="B98" s="83"/>
      <c r="C98" s="56"/>
      <c r="D98" s="56"/>
      <c r="E98" s="56"/>
      <c r="F98" s="56"/>
      <c r="G98" s="84"/>
      <c r="H98" s="56"/>
      <c r="I98" s="56"/>
      <c r="J98" s="56"/>
      <c r="K98" s="56"/>
      <c r="L98" s="84"/>
      <c r="M98" s="56"/>
      <c r="N98" s="56"/>
      <c r="O98" s="56"/>
      <c r="P98" s="56"/>
      <c r="Q98" s="84"/>
      <c r="R98" s="56"/>
      <c r="S98" s="56"/>
      <c r="T98" s="56"/>
      <c r="U98" s="56"/>
      <c r="V98" s="84"/>
      <c r="W98" s="56"/>
      <c r="X98" s="56"/>
      <c r="Y98" s="56"/>
      <c r="Z98" s="56"/>
      <c r="AA98" s="84"/>
      <c r="AB98" s="56"/>
      <c r="AC98" s="56"/>
      <c r="AD98" s="56"/>
      <c r="AE98" s="56"/>
      <c r="AF98" s="84"/>
      <c r="AG98" s="56"/>
      <c r="AH98" s="56"/>
      <c r="AI98" s="56"/>
      <c r="AJ98" s="56"/>
      <c r="AK98" s="84"/>
      <c r="AL98" s="56"/>
      <c r="AM98" s="56"/>
      <c r="AN98" s="56"/>
      <c r="AO98" s="84">
        <f t="shared" si="81"/>
        <v>0</v>
      </c>
      <c r="AP98" s="82"/>
    </row>
    <row r="99" spans="1:42" x14ac:dyDescent="0.35">
      <c r="B99" s="85" t="s">
        <v>128</v>
      </c>
      <c r="C99" s="56">
        <v>177</v>
      </c>
      <c r="D99" s="56">
        <f>177-C99</f>
        <v>0</v>
      </c>
      <c r="E99" s="56">
        <f>177-D99-C99</f>
        <v>0</v>
      </c>
      <c r="F99" s="56">
        <f t="shared" ref="F99:F102" si="82">G99-SUM(C99:E99)</f>
        <v>0</v>
      </c>
      <c r="G99" s="84">
        <v>177</v>
      </c>
      <c r="H99" s="56">
        <v>0</v>
      </c>
      <c r="I99" s="56">
        <v>0</v>
      </c>
      <c r="J99" s="56">
        <v>0</v>
      </c>
      <c r="K99" s="56">
        <f>L99-SUM(H99:J99)</f>
        <v>0</v>
      </c>
      <c r="L99" s="84">
        <v>0</v>
      </c>
      <c r="M99" s="56">
        <v>0</v>
      </c>
      <c r="N99" s="56">
        <v>0</v>
      </c>
      <c r="O99" s="56">
        <v>0</v>
      </c>
      <c r="P99" s="56">
        <f>Q99-SUM(M99:O99)</f>
        <v>0</v>
      </c>
      <c r="Q99" s="84">
        <v>0</v>
      </c>
      <c r="R99" s="56">
        <v>0</v>
      </c>
      <c r="S99" s="56">
        <v>0</v>
      </c>
      <c r="T99" s="56">
        <v>0</v>
      </c>
      <c r="U99" s="56">
        <v>0</v>
      </c>
      <c r="V99" s="84">
        <v>0</v>
      </c>
      <c r="W99" s="56">
        <v>0</v>
      </c>
      <c r="X99" s="56">
        <v>0</v>
      </c>
      <c r="Y99" s="56">
        <v>0</v>
      </c>
      <c r="Z99" s="56">
        <v>0</v>
      </c>
      <c r="AA99" s="84">
        <v>0</v>
      </c>
      <c r="AB99" s="56">
        <v>0</v>
      </c>
      <c r="AC99" s="56">
        <v>0</v>
      </c>
      <c r="AD99" s="56">
        <v>0</v>
      </c>
      <c r="AE99" s="56">
        <v>0</v>
      </c>
      <c r="AF99" s="84">
        <f t="shared" ref="AF99:AF103" si="83">SUM(AB99:AE99)</f>
        <v>0</v>
      </c>
      <c r="AG99" s="56">
        <v>0</v>
      </c>
      <c r="AH99" s="56">
        <v>0</v>
      </c>
      <c r="AI99" s="56">
        <v>0</v>
      </c>
      <c r="AJ99" s="56">
        <v>0</v>
      </c>
      <c r="AK99" s="84">
        <f t="shared" ref="AK99:AK103" si="84">SUM(AG99:AJ99)</f>
        <v>0</v>
      </c>
      <c r="AL99" s="56">
        <v>0</v>
      </c>
      <c r="AM99" s="56"/>
      <c r="AN99" s="56">
        <v>0</v>
      </c>
      <c r="AO99" s="84">
        <f t="shared" si="81"/>
        <v>0</v>
      </c>
      <c r="AP99" s="82"/>
    </row>
    <row r="100" spans="1:42" x14ac:dyDescent="0.35">
      <c r="B100" s="85" t="s">
        <v>130</v>
      </c>
      <c r="C100" s="56">
        <v>0</v>
      </c>
      <c r="D100" s="56">
        <v>0</v>
      </c>
      <c r="E100" s="56">
        <v>0</v>
      </c>
      <c r="F100" s="56">
        <v>0</v>
      </c>
      <c r="G100" s="84">
        <v>0</v>
      </c>
      <c r="H100" s="56">
        <v>0</v>
      </c>
      <c r="I100" s="56">
        <v>0</v>
      </c>
      <c r="J100" s="56">
        <v>0</v>
      </c>
      <c r="K100" s="56">
        <f>L100-SUM(H100:J100)</f>
        <v>0</v>
      </c>
      <c r="L100" s="84">
        <v>0</v>
      </c>
      <c r="M100" s="56">
        <v>0</v>
      </c>
      <c r="N100" s="56">
        <v>0</v>
      </c>
      <c r="O100" s="56">
        <v>0</v>
      </c>
      <c r="P100" s="56">
        <f>Q100-SUM(M100:O100)</f>
        <v>0</v>
      </c>
      <c r="Q100" s="84">
        <v>0</v>
      </c>
      <c r="R100" s="56">
        <v>0</v>
      </c>
      <c r="S100" s="56">
        <v>0</v>
      </c>
      <c r="T100" s="56">
        <v>0</v>
      </c>
      <c r="U100" s="56">
        <v>0</v>
      </c>
      <c r="V100" s="84">
        <v>0</v>
      </c>
      <c r="W100" s="56">
        <v>0</v>
      </c>
      <c r="X100" s="56">
        <v>0</v>
      </c>
      <c r="Y100" s="56">
        <v>0</v>
      </c>
      <c r="Z100" s="56">
        <v>0</v>
      </c>
      <c r="AA100" s="84">
        <v>0</v>
      </c>
      <c r="AB100" s="56">
        <v>0</v>
      </c>
      <c r="AC100" s="56">
        <v>0</v>
      </c>
      <c r="AD100" s="56">
        <v>0</v>
      </c>
      <c r="AE100" s="56">
        <v>0</v>
      </c>
      <c r="AF100" s="84">
        <f t="shared" si="83"/>
        <v>0</v>
      </c>
      <c r="AG100" s="56">
        <v>0</v>
      </c>
      <c r="AH100" s="56">
        <v>0</v>
      </c>
      <c r="AI100" s="56">
        <v>0</v>
      </c>
      <c r="AJ100" s="56">
        <v>0</v>
      </c>
      <c r="AK100" s="84">
        <f t="shared" si="84"/>
        <v>0</v>
      </c>
      <c r="AL100" s="56">
        <v>0</v>
      </c>
      <c r="AM100" s="56"/>
      <c r="AN100" s="56">
        <v>0</v>
      </c>
      <c r="AO100" s="84">
        <f t="shared" si="81"/>
        <v>0</v>
      </c>
      <c r="AP100" s="82"/>
    </row>
    <row r="101" spans="1:42" x14ac:dyDescent="0.35">
      <c r="B101" s="83" t="s">
        <v>117</v>
      </c>
      <c r="C101" s="56">
        <v>0</v>
      </c>
      <c r="D101" s="56">
        <v>0</v>
      </c>
      <c r="E101" s="56">
        <v>0</v>
      </c>
      <c r="F101" s="56">
        <v>0</v>
      </c>
      <c r="G101" s="84">
        <v>0</v>
      </c>
      <c r="H101" s="56">
        <v>0</v>
      </c>
      <c r="I101" s="56">
        <v>0</v>
      </c>
      <c r="J101" s="56">
        <v>0</v>
      </c>
      <c r="K101" s="56">
        <v>0</v>
      </c>
      <c r="L101" s="84">
        <v>0</v>
      </c>
      <c r="M101" s="56">
        <v>0</v>
      </c>
      <c r="N101" s="56">
        <f>-14-M101</f>
        <v>-14</v>
      </c>
      <c r="O101" s="56">
        <f>-14-M101-N101</f>
        <v>0</v>
      </c>
      <c r="P101" s="56">
        <f>Q101-SUM(M101:O101)</f>
        <v>-95</v>
      </c>
      <c r="Q101" s="84">
        <f>-109</f>
        <v>-109</v>
      </c>
      <c r="R101" s="56">
        <v>0</v>
      </c>
      <c r="S101" s="56">
        <v>0</v>
      </c>
      <c r="T101" s="56">
        <v>0</v>
      </c>
      <c r="U101" s="56">
        <v>0</v>
      </c>
      <c r="V101" s="84">
        <v>0</v>
      </c>
      <c r="W101" s="56">
        <v>7</v>
      </c>
      <c r="X101" s="56">
        <v>0</v>
      </c>
      <c r="Y101" s="56">
        <v>0</v>
      </c>
      <c r="Z101" s="56">
        <v>0</v>
      </c>
      <c r="AA101" s="84">
        <v>7</v>
      </c>
      <c r="AB101" s="56">
        <v>0</v>
      </c>
      <c r="AC101" s="56">
        <v>31</v>
      </c>
      <c r="AD101" s="56">
        <v>19</v>
      </c>
      <c r="AE101" s="56">
        <v>-183</v>
      </c>
      <c r="AF101" s="84">
        <f t="shared" si="83"/>
        <v>-133</v>
      </c>
      <c r="AG101" s="56">
        <v>-9</v>
      </c>
      <c r="AH101" s="56">
        <v>0</v>
      </c>
      <c r="AI101" s="56">
        <v>0</v>
      </c>
      <c r="AJ101" s="56">
        <v>0</v>
      </c>
      <c r="AK101" s="84">
        <f t="shared" si="84"/>
        <v>-9</v>
      </c>
      <c r="AL101" s="56">
        <v>0</v>
      </c>
      <c r="AM101" s="56"/>
      <c r="AN101" s="56">
        <v>0</v>
      </c>
      <c r="AO101" s="84">
        <f t="shared" si="81"/>
        <v>0</v>
      </c>
      <c r="AP101" s="82"/>
    </row>
    <row r="102" spans="1:42" x14ac:dyDescent="0.35">
      <c r="B102" s="83" t="s">
        <v>118</v>
      </c>
      <c r="C102" s="56">
        <v>-369</v>
      </c>
      <c r="D102" s="56">
        <f>-800-C102</f>
        <v>-431</v>
      </c>
      <c r="E102" s="56">
        <f>-784-D102-C102</f>
        <v>16</v>
      </c>
      <c r="F102" s="56">
        <f t="shared" si="82"/>
        <v>-258</v>
      </c>
      <c r="G102" s="84">
        <v>-1042</v>
      </c>
      <c r="H102" s="56">
        <v>-119</v>
      </c>
      <c r="I102" s="56">
        <f>481-H102</f>
        <v>600</v>
      </c>
      <c r="J102" s="56">
        <f>39-I102-H102</f>
        <v>-442</v>
      </c>
      <c r="K102" s="56">
        <f>L102-SUM(H102:J102)</f>
        <v>352</v>
      </c>
      <c r="L102" s="84">
        <v>391</v>
      </c>
      <c r="M102" s="56">
        <v>57</v>
      </c>
      <c r="N102" s="56">
        <f>796-M102</f>
        <v>739</v>
      </c>
      <c r="O102" s="56">
        <f>1031-M102-N102</f>
        <v>235</v>
      </c>
      <c r="P102" s="56">
        <f>Q102-SUM(M102:O102)</f>
        <v>-171</v>
      </c>
      <c r="Q102" s="84">
        <v>860</v>
      </c>
      <c r="R102" s="56">
        <v>-42</v>
      </c>
      <c r="S102" s="56">
        <v>-85</v>
      </c>
      <c r="T102" s="56">
        <v>476</v>
      </c>
      <c r="U102" s="56">
        <v>-187</v>
      </c>
      <c r="V102" s="84">
        <v>162</v>
      </c>
      <c r="W102" s="56">
        <v>1088</v>
      </c>
      <c r="X102" s="56">
        <v>299</v>
      </c>
      <c r="Y102" s="56">
        <v>246</v>
      </c>
      <c r="Z102" s="56">
        <v>-350</v>
      </c>
      <c r="AA102" s="84">
        <v>1283</v>
      </c>
      <c r="AB102" s="56">
        <v>643</v>
      </c>
      <c r="AC102" s="56">
        <v>-984</v>
      </c>
      <c r="AD102" s="56">
        <v>557</v>
      </c>
      <c r="AE102" s="56">
        <v>3</v>
      </c>
      <c r="AF102" s="84">
        <f t="shared" si="83"/>
        <v>219</v>
      </c>
      <c r="AG102" s="56">
        <v>-1096</v>
      </c>
      <c r="AH102" s="56">
        <v>732</v>
      </c>
      <c r="AI102" s="56">
        <v>132</v>
      </c>
      <c r="AJ102" s="56">
        <v>-155</v>
      </c>
      <c r="AK102" s="84">
        <f t="shared" si="84"/>
        <v>-387</v>
      </c>
      <c r="AL102" s="56">
        <v>20</v>
      </c>
      <c r="AM102" s="56">
        <v>-557</v>
      </c>
      <c r="AN102" s="56">
        <v>0</v>
      </c>
      <c r="AO102" s="84">
        <f t="shared" si="81"/>
        <v>-537</v>
      </c>
      <c r="AP102" s="82"/>
    </row>
    <row r="103" spans="1:42" x14ac:dyDescent="0.35">
      <c r="B103" s="83" t="s">
        <v>194</v>
      </c>
      <c r="C103" s="56">
        <v>0</v>
      </c>
      <c r="D103" s="56">
        <v>0</v>
      </c>
      <c r="E103" s="56">
        <v>0</v>
      </c>
      <c r="F103" s="56">
        <v>0</v>
      </c>
      <c r="G103" s="84">
        <v>0</v>
      </c>
      <c r="H103" s="56">
        <v>0</v>
      </c>
      <c r="I103" s="56">
        <v>0</v>
      </c>
      <c r="J103" s="56">
        <v>0</v>
      </c>
      <c r="K103" s="56">
        <v>0</v>
      </c>
      <c r="L103" s="84">
        <v>0</v>
      </c>
      <c r="M103" s="56">
        <v>0</v>
      </c>
      <c r="N103" s="56">
        <v>0</v>
      </c>
      <c r="O103" s="56">
        <v>0</v>
      </c>
      <c r="P103" s="56">
        <v>0</v>
      </c>
      <c r="Q103" s="84">
        <v>0</v>
      </c>
      <c r="R103" s="56">
        <v>0</v>
      </c>
      <c r="S103" s="56">
        <v>0</v>
      </c>
      <c r="T103" s="56">
        <v>0</v>
      </c>
      <c r="U103" s="56">
        <v>0</v>
      </c>
      <c r="V103" s="84">
        <v>0</v>
      </c>
      <c r="W103" s="56">
        <v>0</v>
      </c>
      <c r="X103" s="56">
        <v>0</v>
      </c>
      <c r="Y103" s="56">
        <v>378</v>
      </c>
      <c r="Z103" s="56">
        <v>0</v>
      </c>
      <c r="AA103" s="84">
        <v>0</v>
      </c>
      <c r="AB103" s="56">
        <v>0</v>
      </c>
      <c r="AC103" s="56">
        <v>0</v>
      </c>
      <c r="AD103" s="56">
        <v>0</v>
      </c>
      <c r="AE103" s="56">
        <v>0</v>
      </c>
      <c r="AF103" s="84">
        <f t="shared" si="83"/>
        <v>0</v>
      </c>
      <c r="AG103" s="56">
        <v>0</v>
      </c>
      <c r="AH103" s="56">
        <v>0</v>
      </c>
      <c r="AI103" s="56">
        <v>0</v>
      </c>
      <c r="AJ103" s="56">
        <v>0</v>
      </c>
      <c r="AK103" s="84">
        <f t="shared" si="84"/>
        <v>0</v>
      </c>
      <c r="AL103" s="56">
        <v>0</v>
      </c>
      <c r="AM103" s="56"/>
      <c r="AN103" s="56">
        <v>0</v>
      </c>
      <c r="AO103" s="84">
        <f t="shared" si="81"/>
        <v>0</v>
      </c>
      <c r="AP103" s="82"/>
    </row>
    <row r="104" spans="1:42" x14ac:dyDescent="0.35">
      <c r="B104" s="83" t="s">
        <v>119</v>
      </c>
      <c r="C104" s="56">
        <v>6649</v>
      </c>
      <c r="D104" s="56">
        <v>5779</v>
      </c>
      <c r="E104" s="56">
        <v>5359</v>
      </c>
      <c r="F104" s="56">
        <v>5008</v>
      </c>
      <c r="G104" s="84">
        <v>6649</v>
      </c>
      <c r="H104" s="56">
        <v>6946</v>
      </c>
      <c r="I104" s="56">
        <v>5818</v>
      </c>
      <c r="J104" s="56">
        <v>6561</v>
      </c>
      <c r="K104" s="56">
        <v>5788</v>
      </c>
      <c r="L104" s="84">
        <v>6946</v>
      </c>
      <c r="M104" s="56">
        <v>8960</v>
      </c>
      <c r="N104" s="56">
        <v>6718</v>
      </c>
      <c r="O104" s="56">
        <v>7053</v>
      </c>
      <c r="P104" s="56">
        <v>6754</v>
      </c>
      <c r="Q104" s="84">
        <v>8960</v>
      </c>
      <c r="R104" s="56">
        <v>7667</v>
      </c>
      <c r="S104" s="56">
        <v>6921</v>
      </c>
      <c r="T104" s="56">
        <v>4944</v>
      </c>
      <c r="U104" s="56">
        <v>6021</v>
      </c>
      <c r="V104" s="84">
        <v>7742</v>
      </c>
      <c r="W104" s="56">
        <v>6262</v>
      </c>
      <c r="X104" s="56">
        <v>6779</v>
      </c>
      <c r="Y104" s="56">
        <v>9111.9187913207825</v>
      </c>
      <c r="Z104" s="56">
        <v>10303.918791320782</v>
      </c>
      <c r="AA104" s="84">
        <v>6262</v>
      </c>
      <c r="AB104" s="56">
        <v>9783</v>
      </c>
      <c r="AC104" s="56">
        <v>11686</v>
      </c>
      <c r="AD104" s="56">
        <f>AC105</f>
        <v>10712</v>
      </c>
      <c r="AE104" s="56">
        <f>AD105</f>
        <v>12905</v>
      </c>
      <c r="AF104" s="84">
        <f>AB104</f>
        <v>9783</v>
      </c>
      <c r="AG104" s="56">
        <v>13680</v>
      </c>
      <c r="AH104" s="56">
        <v>9530</v>
      </c>
      <c r="AI104" s="56">
        <v>12298</v>
      </c>
      <c r="AJ104" s="56">
        <v>10752</v>
      </c>
      <c r="AK104" s="84">
        <v>13680</v>
      </c>
      <c r="AL104" s="56">
        <v>10526</v>
      </c>
      <c r="AM104" s="56">
        <v>8320</v>
      </c>
      <c r="AN104" s="56">
        <v>8462</v>
      </c>
      <c r="AO104" s="84">
        <f>AL104</f>
        <v>10526</v>
      </c>
      <c r="AP104" s="82"/>
    </row>
    <row r="105" spans="1:42" ht="15" thickBot="1" x14ac:dyDescent="0.4">
      <c r="B105" s="77" t="s">
        <v>120</v>
      </c>
      <c r="C105" s="63">
        <f t="shared" ref="C105:O105" si="85">SUM(C97:C104)</f>
        <v>5779</v>
      </c>
      <c r="D105" s="63">
        <f t="shared" si="85"/>
        <v>5359</v>
      </c>
      <c r="E105" s="63">
        <f t="shared" si="85"/>
        <v>5008</v>
      </c>
      <c r="F105" s="63">
        <f t="shared" si="85"/>
        <v>6946</v>
      </c>
      <c r="G105" s="90">
        <f t="shared" si="85"/>
        <v>6946</v>
      </c>
      <c r="H105" s="63">
        <f t="shared" si="85"/>
        <v>5818</v>
      </c>
      <c r="I105" s="63">
        <f t="shared" si="85"/>
        <v>6561</v>
      </c>
      <c r="J105" s="63">
        <f t="shared" si="85"/>
        <v>5787</v>
      </c>
      <c r="K105" s="63">
        <f t="shared" si="85"/>
        <v>9178</v>
      </c>
      <c r="L105" s="90">
        <f t="shared" si="85"/>
        <v>9177</v>
      </c>
      <c r="M105" s="63">
        <f t="shared" si="85"/>
        <v>6718</v>
      </c>
      <c r="N105" s="63">
        <f t="shared" si="85"/>
        <v>7053</v>
      </c>
      <c r="O105" s="63">
        <f t="shared" si="85"/>
        <v>6744</v>
      </c>
      <c r="P105" s="63">
        <f t="shared" ref="P105:R105" si="86">SUM(P97:P104)</f>
        <v>7752</v>
      </c>
      <c r="Q105" s="90">
        <f t="shared" si="86"/>
        <v>7742</v>
      </c>
      <c r="R105" s="63">
        <f t="shared" si="86"/>
        <v>6921</v>
      </c>
      <c r="S105" s="63">
        <f t="shared" ref="S105:U105" si="87">SUM(S97:S104)</f>
        <v>4944</v>
      </c>
      <c r="T105" s="63">
        <f t="shared" si="87"/>
        <v>6021</v>
      </c>
      <c r="U105" s="63">
        <f t="shared" si="87"/>
        <v>6187</v>
      </c>
      <c r="V105" s="90">
        <f t="shared" ref="V105:X105" si="88">SUM(V97:V104)</f>
        <v>6262</v>
      </c>
      <c r="W105" s="63">
        <f t="shared" si="88"/>
        <v>6779</v>
      </c>
      <c r="X105" s="63">
        <f t="shared" si="88"/>
        <v>9111.9187913207825</v>
      </c>
      <c r="Y105" s="63">
        <f t="shared" ref="Y105:AA105" si="89">SUM(Y97:Y104)</f>
        <v>10303.918791320782</v>
      </c>
      <c r="Z105" s="63">
        <f t="shared" si="89"/>
        <v>10160.616168288783</v>
      </c>
      <c r="AA105" s="90">
        <f t="shared" si="89"/>
        <v>9782.6161682887832</v>
      </c>
      <c r="AB105" s="63">
        <f t="shared" ref="AB105:AF105" si="90">SUM(AB97:AB104)</f>
        <v>11686</v>
      </c>
      <c r="AC105" s="63">
        <f t="shared" ref="AC105" si="91">SUM(AC97:AC104)</f>
        <v>10712</v>
      </c>
      <c r="AD105" s="63">
        <f t="shared" si="90"/>
        <v>12905</v>
      </c>
      <c r="AE105" s="63">
        <f t="shared" si="90"/>
        <v>13681</v>
      </c>
      <c r="AF105" s="90">
        <f t="shared" si="90"/>
        <v>13681</v>
      </c>
      <c r="AG105" s="63">
        <f t="shared" ref="AG105:AL105" si="92">SUM(AG97:AG104)</f>
        <v>9530</v>
      </c>
      <c r="AH105" s="63">
        <f t="shared" ref="AH105:AJ105" si="93">SUM(AH97:AH104)</f>
        <v>12298</v>
      </c>
      <c r="AI105" s="63">
        <f t="shared" si="93"/>
        <v>10752</v>
      </c>
      <c r="AJ105" s="63">
        <f t="shared" si="93"/>
        <v>10526</v>
      </c>
      <c r="AK105" s="90">
        <f t="shared" si="92"/>
        <v>10526</v>
      </c>
      <c r="AL105" s="63">
        <f t="shared" si="92"/>
        <v>8320</v>
      </c>
      <c r="AM105" s="63">
        <f t="shared" ref="AM105:AN105" si="94">SUM(AM97:AM104)</f>
        <v>8462</v>
      </c>
      <c r="AN105" s="63">
        <f t="shared" si="94"/>
        <v>10348</v>
      </c>
      <c r="AO105" s="90">
        <f>SUM(AO97:AO104)</f>
        <v>10348</v>
      </c>
      <c r="AP105" s="82"/>
    </row>
    <row r="106" spans="1:42" ht="15" thickTop="1" x14ac:dyDescent="0.35">
      <c r="C106" s="91"/>
      <c r="D106" s="91"/>
      <c r="E106" s="91"/>
      <c r="F106" s="91"/>
      <c r="G106" s="92"/>
      <c r="H106" s="91"/>
      <c r="I106" s="91"/>
      <c r="J106" s="91"/>
      <c r="K106" s="91"/>
      <c r="L106" s="93"/>
      <c r="M106" s="91"/>
      <c r="N106" s="91"/>
      <c r="O106" s="56"/>
      <c r="P106" s="91"/>
      <c r="Q106" s="56"/>
      <c r="S106" s="91"/>
      <c r="T106" s="91"/>
      <c r="V106" s="56"/>
    </row>
    <row r="107" spans="1:42" x14ac:dyDescent="0.35">
      <c r="A107" s="94"/>
      <c r="B107" s="85"/>
      <c r="Q107" s="56"/>
      <c r="AA107" s="56"/>
      <c r="AF107" s="56"/>
      <c r="AK107" s="56"/>
      <c r="AO107" s="56"/>
    </row>
    <row r="108" spans="1:42" x14ac:dyDescent="0.35"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V108" s="56"/>
      <c r="AA108" s="56"/>
      <c r="AF108" s="56"/>
      <c r="AK108" s="56"/>
      <c r="AO108" s="56"/>
    </row>
    <row r="109" spans="1:42" x14ac:dyDescent="0.35"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V109" s="56"/>
      <c r="AA109" s="56"/>
      <c r="AF109" s="56"/>
      <c r="AK109" s="56"/>
      <c r="AO109" s="56"/>
    </row>
    <row r="110" spans="1:42" x14ac:dyDescent="0.35"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V110" s="56"/>
      <c r="AA110" s="56"/>
      <c r="AF110" s="56"/>
      <c r="AK110" s="56"/>
      <c r="AO110" s="56"/>
    </row>
    <row r="111" spans="1:42" x14ac:dyDescent="0.35"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V111" s="56"/>
      <c r="AA111" s="56"/>
      <c r="AF111" s="56"/>
      <c r="AK111" s="56"/>
      <c r="AO111" s="56"/>
    </row>
    <row r="112" spans="1:42" x14ac:dyDescent="0.35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V112" s="56"/>
      <c r="AA112" s="56"/>
      <c r="AF112" s="56"/>
      <c r="AK112" s="56"/>
      <c r="AO112" s="56"/>
    </row>
    <row r="113" spans="3:41" x14ac:dyDescent="0.35"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V113" s="56"/>
      <c r="AA113" s="56"/>
      <c r="AF113" s="56"/>
      <c r="AK113" s="56"/>
      <c r="AO113" s="56"/>
    </row>
    <row r="114" spans="3:41" x14ac:dyDescent="0.35"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</row>
  </sheetData>
  <mergeCells count="8">
    <mergeCell ref="AL4:AO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104:V105 B71:Q72 C36:Q36 B37:Q37 V17:V37 B27:Q35 C26:Q26 B23:Q25 B17:Q20 V6 B44 F44 K44 P44 S7:V8 S104:T105 S17:T37 S6:T6 B104:Q105 C78:Q78 C21:Q22 S45:T51 B45:Q51 V45:V51 S53:T58 B53:Q58 V53:V58 B94:Q102 S94:T102 V94:V102 B74:Q77 C73:Q73 V90:V92 S90:T92 B90:Q91 B92:G92 M92:Q92 S9:T15 B6:Q13 V9:V15 C14:Q15 S71:T78 V71:V78 V61:V69 S61:T69 B61:Q69 B82:Q82 S82:T82 V82 B84:Q87 S84:T88 V84:V88 C88:Q88" numberStoredAsText="1"/>
    <ignoredError sqref="AF10 AF12:AF13 AF44:AF45 AF62:AF63 AF66:AF68 AF84:AF86 AF95:AF96 AF98" formulaRange="1"/>
    <ignoredError sqref="AH6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P51"/>
  <sheetViews>
    <sheetView showGridLines="0" zoomScale="85" zoomScaleNormal="85" workbookViewId="0">
      <pane xSplit="2" ySplit="6" topLeftCell="AI7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RowHeight="14.5" x14ac:dyDescent="0.35"/>
  <cols>
    <col min="1" max="1" width="3.36328125" customWidth="1"/>
    <col min="2" max="2" width="83.36328125" bestFit="1" customWidth="1"/>
    <col min="3" max="16" width="18" customWidth="1"/>
    <col min="17" max="17" width="18" style="53" customWidth="1"/>
    <col min="18" max="21" width="18" customWidth="1"/>
    <col min="22" max="22" width="18" style="53" customWidth="1"/>
    <col min="23" max="26" width="18" customWidth="1"/>
    <col min="27" max="27" width="18" style="53" customWidth="1"/>
    <col min="28" max="29" width="18" customWidth="1"/>
    <col min="30" max="30" width="17" customWidth="1"/>
    <col min="31" max="31" width="18" customWidth="1"/>
    <col min="32" max="32" width="18" style="53" customWidth="1"/>
    <col min="33" max="36" width="18" customWidth="1"/>
    <col min="37" max="37" width="18" style="53" customWidth="1"/>
    <col min="38" max="41" width="18" customWidth="1"/>
    <col min="42" max="42" width="12.1796875" bestFit="1" customWidth="1"/>
  </cols>
  <sheetData>
    <row r="4" spans="2:42" ht="15" customHeight="1" x14ac:dyDescent="0.35">
      <c r="B4" s="3"/>
      <c r="C4" s="112" t="s">
        <v>0</v>
      </c>
      <c r="D4" s="112"/>
      <c r="E4" s="112"/>
      <c r="F4" s="112"/>
      <c r="G4" s="112"/>
      <c r="H4" s="113" t="s">
        <v>1</v>
      </c>
      <c r="I4" s="113"/>
      <c r="J4" s="113"/>
      <c r="K4" s="113"/>
      <c r="L4" s="113"/>
      <c r="M4" s="113" t="s">
        <v>2</v>
      </c>
      <c r="N4" s="113"/>
      <c r="O4" s="113"/>
      <c r="P4" s="113"/>
      <c r="Q4" s="113"/>
      <c r="R4" s="111">
        <v>2019</v>
      </c>
      <c r="S4" s="111"/>
      <c r="T4" s="111"/>
      <c r="U4" s="111"/>
      <c r="V4" s="111"/>
      <c r="W4" s="111">
        <v>2020</v>
      </c>
      <c r="X4" s="111"/>
      <c r="Y4" s="111"/>
      <c r="Z4" s="111"/>
      <c r="AA4" s="111"/>
      <c r="AB4" s="111">
        <v>2021</v>
      </c>
      <c r="AC4" s="111"/>
      <c r="AD4" s="111"/>
      <c r="AE4" s="111"/>
      <c r="AF4" s="111"/>
      <c r="AG4" s="111">
        <v>2022</v>
      </c>
      <c r="AH4" s="111"/>
      <c r="AI4" s="111"/>
      <c r="AJ4" s="111"/>
      <c r="AK4" s="111"/>
      <c r="AL4" s="111">
        <v>2023</v>
      </c>
      <c r="AM4" s="111"/>
      <c r="AN4" s="111"/>
      <c r="AO4" s="111"/>
    </row>
    <row r="5" spans="2:42" ht="15.5" x14ac:dyDescent="0.35">
      <c r="B5" s="4" t="s">
        <v>167</v>
      </c>
      <c r="C5" s="112"/>
      <c r="D5" s="112"/>
      <c r="E5" s="112"/>
      <c r="F5" s="112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</row>
    <row r="6" spans="2:42" ht="15.5" x14ac:dyDescent="0.35">
      <c r="B6" s="4" t="s">
        <v>131</v>
      </c>
      <c r="C6" s="6" t="s">
        <v>133</v>
      </c>
      <c r="D6" s="6" t="s">
        <v>134</v>
      </c>
      <c r="E6" s="33" t="s">
        <v>135</v>
      </c>
      <c r="F6" s="33" t="s">
        <v>136</v>
      </c>
      <c r="G6" s="34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" t="s">
        <v>2</v>
      </c>
      <c r="R6" s="6" t="s">
        <v>170</v>
      </c>
      <c r="S6" s="6" t="s">
        <v>171</v>
      </c>
      <c r="T6" s="6" t="s">
        <v>179</v>
      </c>
      <c r="U6" s="6" t="s">
        <v>181</v>
      </c>
      <c r="V6" s="68" t="s">
        <v>180</v>
      </c>
      <c r="W6" s="6" t="s">
        <v>182</v>
      </c>
      <c r="X6" s="6" t="s">
        <v>192</v>
      </c>
      <c r="Y6" s="6" t="s">
        <v>193</v>
      </c>
      <c r="Z6" s="6" t="s">
        <v>196</v>
      </c>
      <c r="AA6" s="68" t="s">
        <v>195</v>
      </c>
      <c r="AB6" s="6" t="s">
        <v>200</v>
      </c>
      <c r="AC6" s="6" t="s">
        <v>203</v>
      </c>
      <c r="AD6" s="6" t="s">
        <v>206</v>
      </c>
      <c r="AE6" s="6" t="s">
        <v>224</v>
      </c>
      <c r="AF6" s="68" t="s">
        <v>202</v>
      </c>
      <c r="AG6" s="6" t="s">
        <v>232</v>
      </c>
      <c r="AH6" s="6" t="s">
        <v>239</v>
      </c>
      <c r="AI6" s="6" t="s">
        <v>242</v>
      </c>
      <c r="AJ6" s="6" t="s">
        <v>244</v>
      </c>
      <c r="AK6" s="68" t="s">
        <v>238</v>
      </c>
      <c r="AL6" s="6" t="s">
        <v>247</v>
      </c>
      <c r="AM6" s="6" t="s">
        <v>248</v>
      </c>
      <c r="AN6" s="6" t="s">
        <v>250</v>
      </c>
      <c r="AO6" s="33">
        <v>2023</v>
      </c>
    </row>
    <row r="7" spans="2:42" x14ac:dyDescent="0.35">
      <c r="B7" s="1" t="s">
        <v>161</v>
      </c>
      <c r="G7" s="35"/>
      <c r="L7" s="35"/>
      <c r="Q7" s="96"/>
      <c r="U7" s="78"/>
      <c r="V7" s="96"/>
      <c r="W7" s="78"/>
      <c r="X7" s="78"/>
      <c r="Y7" s="78"/>
      <c r="Z7" s="78"/>
      <c r="AA7" s="96"/>
      <c r="AB7" s="78"/>
      <c r="AC7" s="78"/>
      <c r="AD7" s="78"/>
      <c r="AE7" s="78"/>
      <c r="AF7" s="96"/>
      <c r="AG7" s="78"/>
      <c r="AH7" s="78"/>
      <c r="AI7" s="78"/>
      <c r="AJ7" s="78"/>
      <c r="AK7" s="96"/>
      <c r="AL7" s="78"/>
      <c r="AM7" s="78"/>
      <c r="AN7" s="78"/>
      <c r="AO7" s="96"/>
    </row>
    <row r="8" spans="2:42" s="14" customFormat="1" x14ac:dyDescent="0.35">
      <c r="B8" s="1" t="s">
        <v>243</v>
      </c>
      <c r="C8" s="11">
        <v>458</v>
      </c>
      <c r="D8" s="11">
        <v>176</v>
      </c>
      <c r="E8" s="11">
        <v>414</v>
      </c>
      <c r="F8" s="26">
        <v>-1251</v>
      </c>
      <c r="G8" s="50">
        <v>-1251</v>
      </c>
      <c r="H8" s="26">
        <v>-1939</v>
      </c>
      <c r="I8" s="26">
        <v>-1704</v>
      </c>
      <c r="J8" s="26">
        <v>-1333</v>
      </c>
      <c r="K8" s="11">
        <v>810</v>
      </c>
      <c r="L8" s="38">
        <v>810</v>
      </c>
      <c r="M8" s="11">
        <v>1506</v>
      </c>
      <c r="N8" s="11">
        <v>1098</v>
      </c>
      <c r="O8" s="11">
        <v>691</v>
      </c>
      <c r="P8" s="11">
        <v>1953</v>
      </c>
      <c r="Q8" s="81">
        <v>2309</v>
      </c>
      <c r="R8" s="11">
        <v>6194</v>
      </c>
      <c r="S8" s="11">
        <v>6273</v>
      </c>
      <c r="T8" s="58">
        <v>5703</v>
      </c>
      <c r="U8" s="58">
        <v>4925</v>
      </c>
      <c r="V8" s="81">
        <v>4925</v>
      </c>
      <c r="W8" s="58">
        <v>-2910</v>
      </c>
      <c r="X8" s="58">
        <v>-3781</v>
      </c>
      <c r="Y8" s="58">
        <v>-3245</v>
      </c>
      <c r="Z8" s="58">
        <v>-3066</v>
      </c>
      <c r="AA8" s="81">
        <v>-3066</v>
      </c>
      <c r="AB8" s="58">
        <v>1504</v>
      </c>
      <c r="AC8" s="58">
        <v>4281</v>
      </c>
      <c r="AD8" s="58">
        <v>5274</v>
      </c>
      <c r="AE8" s="58">
        <f>AF8</f>
        <v>7120</v>
      </c>
      <c r="AF8" s="81">
        <v>7120</v>
      </c>
      <c r="AG8" s="58">
        <v>7686</v>
      </c>
      <c r="AH8" s="58">
        <v>7050</v>
      </c>
      <c r="AI8" s="58">
        <v>7358</v>
      </c>
      <c r="AJ8" s="58">
        <v>5463</v>
      </c>
      <c r="AK8" s="81">
        <v>5463</v>
      </c>
      <c r="AL8" s="58">
        <v>4254</v>
      </c>
      <c r="AM8" s="58">
        <v>2596</v>
      </c>
      <c r="AN8" s="58">
        <v>1672</v>
      </c>
      <c r="AO8" s="81">
        <f>SUM(AL8:AN8)</f>
        <v>8522</v>
      </c>
    </row>
    <row r="9" spans="2:42" s="14" customFormat="1" x14ac:dyDescent="0.35">
      <c r="B9" s="30" t="s">
        <v>152</v>
      </c>
      <c r="C9" s="26"/>
      <c r="D9" s="26"/>
      <c r="E9" s="26"/>
      <c r="F9" s="26"/>
      <c r="G9" s="50"/>
      <c r="H9" s="26"/>
      <c r="I9" s="26"/>
      <c r="J9" s="26"/>
      <c r="K9" s="26"/>
      <c r="L9" s="50"/>
      <c r="M9" s="26"/>
      <c r="N9" s="26"/>
      <c r="O9" s="26"/>
      <c r="P9" s="26"/>
      <c r="Q9" s="81"/>
      <c r="R9" s="26"/>
      <c r="S9" s="26"/>
      <c r="T9" s="58"/>
      <c r="U9" s="58"/>
      <c r="V9" s="81"/>
      <c r="W9" s="58"/>
      <c r="X9" s="58"/>
      <c r="Y9" s="58"/>
      <c r="Z9" s="58"/>
      <c r="AA9" s="81"/>
      <c r="AB9" s="58"/>
      <c r="AC9" s="58"/>
      <c r="AD9" s="58"/>
      <c r="AE9" s="58"/>
      <c r="AF9" s="81"/>
      <c r="AG9" s="58"/>
      <c r="AH9" s="58"/>
      <c r="AI9" s="58"/>
      <c r="AJ9" s="58"/>
      <c r="AK9" s="81"/>
      <c r="AL9" s="58"/>
      <c r="AM9" s="58"/>
      <c r="AN9" s="58"/>
      <c r="AO9" s="81"/>
    </row>
    <row r="10" spans="2:42" x14ac:dyDescent="0.35">
      <c r="B10" s="1" t="s">
        <v>145</v>
      </c>
      <c r="C10" s="11"/>
      <c r="D10" s="11"/>
      <c r="E10" s="11"/>
      <c r="F10" s="11"/>
      <c r="G10" s="38"/>
      <c r="H10" s="11"/>
      <c r="I10" s="11"/>
      <c r="J10" s="11"/>
      <c r="K10" s="11"/>
      <c r="L10" s="38"/>
      <c r="M10" s="11"/>
      <c r="N10" s="11"/>
      <c r="O10" s="11"/>
      <c r="P10" s="11"/>
      <c r="Q10" s="81"/>
      <c r="R10" s="11"/>
      <c r="S10" s="11"/>
      <c r="T10" s="58"/>
      <c r="U10" s="58"/>
      <c r="V10" s="81"/>
      <c r="W10" s="58"/>
      <c r="X10" s="58"/>
      <c r="Y10" s="58"/>
      <c r="Z10" s="58"/>
      <c r="AA10" s="81"/>
      <c r="AB10" s="58"/>
      <c r="AC10" s="58"/>
      <c r="AD10" s="58"/>
      <c r="AE10" s="58"/>
      <c r="AF10" s="81"/>
      <c r="AG10" s="58"/>
      <c r="AH10" s="58"/>
      <c r="AI10" s="58"/>
      <c r="AJ10" s="58"/>
      <c r="AK10" s="81"/>
      <c r="AL10" s="58"/>
      <c r="AM10" s="58"/>
      <c r="AN10" s="58"/>
      <c r="AO10" s="81"/>
      <c r="AP10" s="14"/>
    </row>
    <row r="11" spans="2:42" x14ac:dyDescent="0.35">
      <c r="B11" s="2" t="s">
        <v>146</v>
      </c>
      <c r="C11" s="16">
        <f>-807+9</f>
        <v>-798</v>
      </c>
      <c r="D11" s="16">
        <f>-843+14</f>
        <v>-829</v>
      </c>
      <c r="E11" s="16">
        <f>-938+5</f>
        <v>-933</v>
      </c>
      <c r="F11" s="16">
        <v>-774</v>
      </c>
      <c r="G11" s="39">
        <v>-774</v>
      </c>
      <c r="H11" s="16">
        <f>-590+3+4</f>
        <v>-583</v>
      </c>
      <c r="I11" s="16">
        <f>-654+12-1</f>
        <v>-643</v>
      </c>
      <c r="J11" s="16">
        <v>-1105</v>
      </c>
      <c r="K11" s="16">
        <v>-1197</v>
      </c>
      <c r="L11" s="39">
        <v>-1197</v>
      </c>
      <c r="M11" s="16">
        <v>-1447</v>
      </c>
      <c r="N11" s="16">
        <v>-1212</v>
      </c>
      <c r="O11" s="16">
        <v>-839</v>
      </c>
      <c r="P11" s="16">
        <v>-1634</v>
      </c>
      <c r="Q11" s="84">
        <v>-1938</v>
      </c>
      <c r="R11" s="16">
        <v>-1334</v>
      </c>
      <c r="S11" s="16">
        <v>-1541</v>
      </c>
      <c r="T11" s="56">
        <v>-1524</v>
      </c>
      <c r="U11" s="56">
        <v>-1022</v>
      </c>
      <c r="V11" s="84">
        <v>-1022</v>
      </c>
      <c r="W11" s="56">
        <v>-799</v>
      </c>
      <c r="X11" s="56">
        <v>-397</v>
      </c>
      <c r="Y11" s="56">
        <v>-593</v>
      </c>
      <c r="Z11" s="56">
        <v>-715</v>
      </c>
      <c r="AA11" s="84">
        <v>-715</v>
      </c>
      <c r="AB11" s="56">
        <v>-945</v>
      </c>
      <c r="AC11" s="56">
        <v>-1394</v>
      </c>
      <c r="AD11" s="56">
        <v>-1026</v>
      </c>
      <c r="AE11" s="56">
        <f t="shared" ref="AE11:AE14" si="0">AF11</f>
        <v>-460</v>
      </c>
      <c r="AF11" s="84">
        <v>-460</v>
      </c>
      <c r="AG11" s="56">
        <v>-581</v>
      </c>
      <c r="AH11" s="56">
        <v>-322</v>
      </c>
      <c r="AI11" s="56">
        <v>-724</v>
      </c>
      <c r="AJ11" s="56">
        <v>-1376</v>
      </c>
      <c r="AK11" s="84">
        <v>-1376</v>
      </c>
      <c r="AL11" s="56">
        <v>-1476</v>
      </c>
      <c r="AM11" s="56">
        <v>-1568</v>
      </c>
      <c r="AN11" s="56">
        <v>-1207</v>
      </c>
      <c r="AO11" s="84">
        <f t="shared" ref="AO11:AO14" si="1">SUM(AL11:AN11)</f>
        <v>-4251</v>
      </c>
      <c r="AP11" s="14"/>
    </row>
    <row r="12" spans="2:42" x14ac:dyDescent="0.35">
      <c r="B12" s="2" t="s">
        <v>175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36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36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84">
        <v>2048</v>
      </c>
      <c r="R12" s="7">
        <v>2113</v>
      </c>
      <c r="S12" s="7">
        <v>1686</v>
      </c>
      <c r="T12" s="56">
        <v>1514</v>
      </c>
      <c r="U12" s="56">
        <v>1624</v>
      </c>
      <c r="V12" s="84">
        <v>1624</v>
      </c>
      <c r="W12" s="56">
        <v>2706</v>
      </c>
      <c r="X12" s="56">
        <v>2803</v>
      </c>
      <c r="Y12" s="56">
        <v>3355</v>
      </c>
      <c r="Z12" s="56">
        <v>3536</v>
      </c>
      <c r="AA12" s="84">
        <v>3536</v>
      </c>
      <c r="AB12" s="56">
        <v>2532</v>
      </c>
      <c r="AC12" s="56">
        <v>1863</v>
      </c>
      <c r="AD12" s="56">
        <v>1599</v>
      </c>
      <c r="AE12" s="56">
        <f t="shared" si="0"/>
        <v>-1803</v>
      </c>
      <c r="AF12" s="84">
        <v>-1803</v>
      </c>
      <c r="AG12" s="56">
        <v>-2115</v>
      </c>
      <c r="AH12" s="56">
        <v>-1167</v>
      </c>
      <c r="AI12" s="56">
        <v>-1791</v>
      </c>
      <c r="AJ12" s="56">
        <v>1483</v>
      </c>
      <c r="AK12" s="84">
        <v>1483</v>
      </c>
      <c r="AL12" s="56">
        <v>1723</v>
      </c>
      <c r="AM12" s="56">
        <v>1151</v>
      </c>
      <c r="AN12" s="56">
        <v>1838</v>
      </c>
      <c r="AO12" s="84">
        <f t="shared" si="1"/>
        <v>4712</v>
      </c>
      <c r="AP12" s="14"/>
    </row>
    <row r="13" spans="2:42" x14ac:dyDescent="0.35">
      <c r="B13" s="2" t="s">
        <v>147</v>
      </c>
      <c r="C13" s="7">
        <f>960-5</f>
        <v>955</v>
      </c>
      <c r="D13" s="7">
        <f>781-10</f>
        <v>771</v>
      </c>
      <c r="E13" s="7">
        <f>785-17</f>
        <v>768</v>
      </c>
      <c r="F13" s="16">
        <v>-397</v>
      </c>
      <c r="G13" s="39">
        <v>-397</v>
      </c>
      <c r="H13" s="16">
        <f>-483+45+3</f>
        <v>-435</v>
      </c>
      <c r="I13" s="16">
        <f>-343+66+8</f>
        <v>-269</v>
      </c>
      <c r="J13" s="16">
        <f>-489+84</f>
        <v>-405</v>
      </c>
      <c r="K13" s="7">
        <v>133</v>
      </c>
      <c r="L13" s="36">
        <v>133</v>
      </c>
      <c r="M13" s="7">
        <v>297</v>
      </c>
      <c r="N13" s="7">
        <v>229</v>
      </c>
      <c r="O13" s="7">
        <v>397</v>
      </c>
      <c r="P13" s="7">
        <v>1065</v>
      </c>
      <c r="Q13" s="84">
        <v>1013</v>
      </c>
      <c r="R13" s="7">
        <v>3183</v>
      </c>
      <c r="S13" s="7">
        <v>3189</v>
      </c>
      <c r="T13" s="56">
        <v>2911</v>
      </c>
      <c r="U13" s="56">
        <v>2168</v>
      </c>
      <c r="V13" s="84">
        <v>2168</v>
      </c>
      <c r="W13" s="56">
        <v>-572</v>
      </c>
      <c r="X13" s="56">
        <v>-630</v>
      </c>
      <c r="Y13" s="56">
        <v>105</v>
      </c>
      <c r="Z13" s="56">
        <v>1599</v>
      </c>
      <c r="AA13" s="84">
        <v>1599</v>
      </c>
      <c r="AB13" s="56">
        <v>2549</v>
      </c>
      <c r="AC13" s="56">
        <v>3379</v>
      </c>
      <c r="AD13" s="56">
        <v>3313</v>
      </c>
      <c r="AE13" s="56">
        <f t="shared" si="0"/>
        <v>3326</v>
      </c>
      <c r="AF13" s="84">
        <v>3326</v>
      </c>
      <c r="AG13" s="56">
        <v>3458</v>
      </c>
      <c r="AH13" s="56">
        <v>2980</v>
      </c>
      <c r="AI13" s="56">
        <v>3274</v>
      </c>
      <c r="AJ13" s="56">
        <v>2086</v>
      </c>
      <c r="AK13" s="84">
        <v>2086</v>
      </c>
      <c r="AL13" s="56">
        <v>1635</v>
      </c>
      <c r="AM13" s="56">
        <v>1618</v>
      </c>
      <c r="AN13" s="56">
        <v>1097</v>
      </c>
      <c r="AO13" s="84">
        <f t="shared" si="1"/>
        <v>4350</v>
      </c>
      <c r="AP13" s="14"/>
    </row>
    <row r="14" spans="2:42" x14ac:dyDescent="0.35">
      <c r="B14" s="2" t="s">
        <v>148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36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36">
        <v>2360</v>
      </c>
      <c r="M14" s="7">
        <v>2336</v>
      </c>
      <c r="N14" s="7">
        <v>2388</v>
      </c>
      <c r="O14" s="7">
        <v>2535</v>
      </c>
      <c r="P14" s="7">
        <v>2455</v>
      </c>
      <c r="Q14" s="84">
        <v>2455</v>
      </c>
      <c r="R14" s="7">
        <v>2589</v>
      </c>
      <c r="S14" s="7">
        <v>2729</v>
      </c>
      <c r="T14" s="56">
        <v>2888</v>
      </c>
      <c r="U14" s="56">
        <v>3067</v>
      </c>
      <c r="V14" s="84">
        <v>3067</v>
      </c>
      <c r="W14" s="56">
        <v>3094</v>
      </c>
      <c r="X14" s="56">
        <v>3125</v>
      </c>
      <c r="Y14" s="56">
        <v>3194</v>
      </c>
      <c r="Z14" s="56">
        <v>3293</v>
      </c>
      <c r="AA14" s="84">
        <v>3293</v>
      </c>
      <c r="AB14" s="56">
        <v>3398</v>
      </c>
      <c r="AC14" s="56">
        <v>3511</v>
      </c>
      <c r="AD14" s="56">
        <v>3589</v>
      </c>
      <c r="AE14" s="56">
        <f t="shared" si="0"/>
        <v>3637</v>
      </c>
      <c r="AF14" s="84">
        <v>3637</v>
      </c>
      <c r="AG14" s="56">
        <v>3750</v>
      </c>
      <c r="AH14" s="56">
        <v>3799</v>
      </c>
      <c r="AI14" s="56">
        <v>3863</v>
      </c>
      <c r="AJ14" s="56">
        <v>3983</v>
      </c>
      <c r="AK14" s="84">
        <v>3983</v>
      </c>
      <c r="AL14" s="56">
        <v>4025</v>
      </c>
      <c r="AM14" s="56">
        <v>4074</v>
      </c>
      <c r="AN14" s="56">
        <v>4042</v>
      </c>
      <c r="AO14" s="84">
        <f t="shared" si="1"/>
        <v>12141</v>
      </c>
      <c r="AP14" s="14"/>
    </row>
    <row r="15" spans="2:42" x14ac:dyDescent="0.35">
      <c r="B15" s="1" t="s">
        <v>149</v>
      </c>
      <c r="C15" s="11"/>
      <c r="D15" s="11"/>
      <c r="E15" s="11"/>
      <c r="F15" s="11"/>
      <c r="G15" s="38"/>
      <c r="H15" s="11"/>
      <c r="I15" s="11"/>
      <c r="J15" s="11"/>
      <c r="K15" s="11"/>
      <c r="L15" s="38"/>
      <c r="M15" s="11"/>
      <c r="N15" s="11"/>
      <c r="O15" s="11"/>
      <c r="P15" s="11"/>
      <c r="Q15" s="81"/>
      <c r="R15" s="11"/>
      <c r="S15" s="11"/>
      <c r="T15" s="58"/>
      <c r="U15" s="58"/>
      <c r="V15" s="81"/>
      <c r="W15" s="58"/>
      <c r="X15" s="58"/>
      <c r="Y15" s="58"/>
      <c r="Z15" s="58"/>
      <c r="AA15" s="81"/>
      <c r="AB15" s="58"/>
      <c r="AC15" s="58"/>
      <c r="AD15" s="58"/>
      <c r="AE15" s="58"/>
      <c r="AF15" s="81"/>
      <c r="AG15" s="58"/>
      <c r="AH15" s="58"/>
      <c r="AI15" s="58"/>
      <c r="AJ15" s="58"/>
      <c r="AK15" s="84"/>
      <c r="AL15" s="58"/>
      <c r="AM15" s="58"/>
      <c r="AN15" s="58"/>
      <c r="AO15" s="81"/>
      <c r="AP15" s="14"/>
    </row>
    <row r="16" spans="2:42" x14ac:dyDescent="0.35">
      <c r="B16" s="2" t="s">
        <v>146</v>
      </c>
      <c r="C16" s="16">
        <f>0-9</f>
        <v>-9</v>
      </c>
      <c r="D16" s="16">
        <f>0-14</f>
        <v>-14</v>
      </c>
      <c r="E16" s="16">
        <f>0-5</f>
        <v>-5</v>
      </c>
      <c r="F16" s="16">
        <v>-31</v>
      </c>
      <c r="G16" s="39">
        <v>-31</v>
      </c>
      <c r="H16" s="16">
        <f>-9-3-4</f>
        <v>-16</v>
      </c>
      <c r="I16" s="16">
        <f>-4-12+1</f>
        <v>-15</v>
      </c>
      <c r="J16" s="7">
        <v>12</v>
      </c>
      <c r="K16" s="16">
        <v>-151</v>
      </c>
      <c r="L16" s="39">
        <v>-151</v>
      </c>
      <c r="M16" s="16">
        <v>-149</v>
      </c>
      <c r="N16" s="16">
        <v>-141</v>
      </c>
      <c r="O16" s="16">
        <v>-151</v>
      </c>
      <c r="P16" s="7">
        <v>0</v>
      </c>
      <c r="Q16" s="84">
        <v>0</v>
      </c>
      <c r="R16" s="7">
        <v>0</v>
      </c>
      <c r="S16" s="7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0</v>
      </c>
      <c r="AF16" s="84">
        <v>0</v>
      </c>
      <c r="AG16" s="56">
        <v>0</v>
      </c>
      <c r="AH16" s="56">
        <v>0</v>
      </c>
      <c r="AI16" s="56">
        <v>0</v>
      </c>
      <c r="AJ16" s="56">
        <v>0</v>
      </c>
      <c r="AK16" s="84">
        <v>0</v>
      </c>
      <c r="AL16" s="56">
        <v>0</v>
      </c>
      <c r="AM16" s="56">
        <v>0</v>
      </c>
      <c r="AN16" s="56">
        <v>0</v>
      </c>
      <c r="AO16" s="84">
        <f t="shared" ref="AO16:AO20" si="2">SUM(AL16:AN16)</f>
        <v>0</v>
      </c>
      <c r="AP16" s="14"/>
    </row>
    <row r="17" spans="2:42" x14ac:dyDescent="0.35">
      <c r="B17" s="2" t="s">
        <v>175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36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36">
        <v>96</v>
      </c>
      <c r="M17" s="7">
        <v>98</v>
      </c>
      <c r="N17" s="7">
        <v>9</v>
      </c>
      <c r="O17" s="7">
        <v>32</v>
      </c>
      <c r="P17" s="7">
        <v>6</v>
      </c>
      <c r="Q17" s="84">
        <v>6</v>
      </c>
      <c r="R17" s="7">
        <v>5</v>
      </c>
      <c r="S17" s="7">
        <v>45</v>
      </c>
      <c r="T17" s="56">
        <v>42</v>
      </c>
      <c r="U17" s="56">
        <v>38</v>
      </c>
      <c r="V17" s="84">
        <v>38</v>
      </c>
      <c r="W17" s="56">
        <v>38</v>
      </c>
      <c r="X17" s="56">
        <v>0</v>
      </c>
      <c r="Y17" s="56">
        <v>0</v>
      </c>
      <c r="Z17" s="56">
        <v>0</v>
      </c>
      <c r="AA17" s="84">
        <v>0</v>
      </c>
      <c r="AB17" s="56">
        <v>0</v>
      </c>
      <c r="AC17" s="56">
        <v>0</v>
      </c>
      <c r="AD17" s="56">
        <v>0</v>
      </c>
      <c r="AE17" s="56">
        <v>0</v>
      </c>
      <c r="AF17" s="84">
        <v>0</v>
      </c>
      <c r="AG17" s="56">
        <v>0</v>
      </c>
      <c r="AH17" s="56">
        <v>0</v>
      </c>
      <c r="AI17" s="56">
        <v>0</v>
      </c>
      <c r="AJ17" s="56">
        <v>0</v>
      </c>
      <c r="AK17" s="84">
        <v>0</v>
      </c>
      <c r="AL17" s="56">
        <v>0</v>
      </c>
      <c r="AM17" s="56">
        <v>0</v>
      </c>
      <c r="AN17" s="56">
        <v>0</v>
      </c>
      <c r="AO17" s="84">
        <f t="shared" si="2"/>
        <v>0</v>
      </c>
      <c r="AP17" s="14"/>
    </row>
    <row r="18" spans="2:42" x14ac:dyDescent="0.35">
      <c r="B18" s="2" t="s">
        <v>176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36">
        <v>2</v>
      </c>
      <c r="H18" s="16">
        <f>-2-45-6</f>
        <v>-53</v>
      </c>
      <c r="I18" s="16">
        <f>5-66-11</f>
        <v>-72</v>
      </c>
      <c r="J18" s="16">
        <f>-5-84</f>
        <v>-89</v>
      </c>
      <c r="K18" s="7">
        <v>126</v>
      </c>
      <c r="L18" s="36">
        <v>126</v>
      </c>
      <c r="M18" s="7">
        <v>123</v>
      </c>
      <c r="N18" s="7">
        <v>146</v>
      </c>
      <c r="O18" s="7">
        <v>159</v>
      </c>
      <c r="P18" s="16">
        <v>-99</v>
      </c>
      <c r="Q18" s="84">
        <v>-99</v>
      </c>
      <c r="R18" s="16">
        <v>-52</v>
      </c>
      <c r="S18" s="16">
        <v>-53</v>
      </c>
      <c r="T18" s="56">
        <v>-50</v>
      </c>
      <c r="U18" s="56">
        <v>-3</v>
      </c>
      <c r="V18" s="84">
        <v>-3</v>
      </c>
      <c r="W18" s="56">
        <v>-3</v>
      </c>
      <c r="X18" s="56">
        <v>-3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>
        <v>0</v>
      </c>
      <c r="AF18" s="84">
        <v>0</v>
      </c>
      <c r="AG18" s="56">
        <v>0</v>
      </c>
      <c r="AH18" s="56">
        <v>0</v>
      </c>
      <c r="AI18" s="56">
        <v>0</v>
      </c>
      <c r="AJ18" s="56">
        <v>0</v>
      </c>
      <c r="AK18" s="84">
        <v>0</v>
      </c>
      <c r="AL18" s="56">
        <v>0</v>
      </c>
      <c r="AM18" s="56">
        <v>0</v>
      </c>
      <c r="AN18" s="56">
        <v>0</v>
      </c>
      <c r="AO18" s="84">
        <f t="shared" si="2"/>
        <v>0</v>
      </c>
      <c r="AP18" s="14"/>
    </row>
    <row r="19" spans="2:42" x14ac:dyDescent="0.35">
      <c r="B19" s="2" t="s">
        <v>148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36">
        <v>185</v>
      </c>
      <c r="H19" s="7">
        <f>95+14+32</f>
        <v>141</v>
      </c>
      <c r="I19" s="7">
        <f>-3+18+3</f>
        <v>18</v>
      </c>
      <c r="J19" s="16">
        <f>-70+7</f>
        <v>-63</v>
      </c>
      <c r="K19" s="7">
        <v>35</v>
      </c>
      <c r="L19" s="36">
        <v>35</v>
      </c>
      <c r="M19" s="7">
        <v>34</v>
      </c>
      <c r="N19" s="7">
        <v>52</v>
      </c>
      <c r="O19" s="7">
        <v>43</v>
      </c>
      <c r="P19" s="7">
        <v>55</v>
      </c>
      <c r="Q19" s="84">
        <v>55</v>
      </c>
      <c r="R19" s="7">
        <v>42</v>
      </c>
      <c r="S19" s="7">
        <v>26</v>
      </c>
      <c r="T19" s="56">
        <v>-23</v>
      </c>
      <c r="U19" s="56">
        <v>0</v>
      </c>
      <c r="V19" s="84">
        <v>0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>
        <v>0</v>
      </c>
      <c r="AF19" s="84">
        <v>0</v>
      </c>
      <c r="AG19" s="56">
        <v>0</v>
      </c>
      <c r="AH19" s="56">
        <v>0</v>
      </c>
      <c r="AI19" s="56">
        <v>0</v>
      </c>
      <c r="AJ19" s="56">
        <v>0</v>
      </c>
      <c r="AK19" s="84">
        <v>0</v>
      </c>
      <c r="AL19" s="56">
        <v>0</v>
      </c>
      <c r="AM19" s="56">
        <v>0</v>
      </c>
      <c r="AN19" s="56">
        <v>0</v>
      </c>
      <c r="AO19" s="84">
        <f t="shared" si="2"/>
        <v>0</v>
      </c>
      <c r="AP19" s="14"/>
    </row>
    <row r="20" spans="2:42" x14ac:dyDescent="0.35">
      <c r="B20" s="1" t="s">
        <v>162</v>
      </c>
      <c r="C20" s="12">
        <f t="shared" ref="C20:O20" si="3">SUM(C8:C19)</f>
        <v>5573</v>
      </c>
      <c r="D20" s="12">
        <f t="shared" si="3"/>
        <v>5129</v>
      </c>
      <c r="E20" s="12">
        <f t="shared" si="3"/>
        <v>4919</v>
      </c>
      <c r="F20" s="12">
        <f t="shared" si="3"/>
        <v>2222</v>
      </c>
      <c r="G20" s="48">
        <f t="shared" si="3"/>
        <v>2222</v>
      </c>
      <c r="H20" s="12">
        <f t="shared" si="3"/>
        <v>1534</v>
      </c>
      <c r="I20" s="12">
        <f t="shared" si="3"/>
        <v>1276</v>
      </c>
      <c r="J20" s="12">
        <f t="shared" si="3"/>
        <v>1021</v>
      </c>
      <c r="K20" s="12">
        <f t="shared" si="3"/>
        <v>4718</v>
      </c>
      <c r="L20" s="48">
        <f t="shared" si="3"/>
        <v>4718</v>
      </c>
      <c r="M20" s="12">
        <f>SUM(M8:M19)</f>
        <v>5209</v>
      </c>
      <c r="N20" s="12">
        <f>SUM(N8:N19)</f>
        <v>5683</v>
      </c>
      <c r="O20" s="12">
        <f t="shared" si="3"/>
        <v>6110</v>
      </c>
      <c r="P20" s="12">
        <v>5849</v>
      </c>
      <c r="Q20" s="87">
        <f t="shared" ref="Q20" si="4">SUM(Q8:Q19)</f>
        <v>5849</v>
      </c>
      <c r="R20" s="12">
        <f t="shared" ref="R20:S20" si="5">SUM(R8:R19)</f>
        <v>12740</v>
      </c>
      <c r="S20" s="12">
        <f t="shared" si="5"/>
        <v>12354</v>
      </c>
      <c r="T20" s="61">
        <f>SUM(T8:T19)</f>
        <v>11461</v>
      </c>
      <c r="U20" s="61">
        <f t="shared" ref="U20:V20" si="6">SUM(U8:U19)</f>
        <v>10797</v>
      </c>
      <c r="V20" s="87">
        <f t="shared" si="6"/>
        <v>10797</v>
      </c>
      <c r="W20" s="61">
        <f>SUM(W8:W19)</f>
        <v>1554</v>
      </c>
      <c r="X20" s="61">
        <f>SUM(X8:X19)</f>
        <v>1117</v>
      </c>
      <c r="Y20" s="61">
        <f>SUM(Y8:Y19)</f>
        <v>2816</v>
      </c>
      <c r="Z20" s="61">
        <f t="shared" ref="Z20:AA20" si="7">SUM(Z8:Z19)</f>
        <v>4647</v>
      </c>
      <c r="AA20" s="87">
        <f t="shared" si="7"/>
        <v>4647</v>
      </c>
      <c r="AB20" s="61">
        <f t="shared" ref="AB20:AF20" si="8">SUM(AB8:AB19)</f>
        <v>9038</v>
      </c>
      <c r="AC20" s="61">
        <f t="shared" si="8"/>
        <v>11640</v>
      </c>
      <c r="AD20" s="61">
        <f t="shared" si="8"/>
        <v>12749</v>
      </c>
      <c r="AE20" s="61">
        <f t="shared" si="8"/>
        <v>11820</v>
      </c>
      <c r="AF20" s="87">
        <f t="shared" si="8"/>
        <v>11820</v>
      </c>
      <c r="AG20" s="61">
        <f t="shared" ref="AG20" si="9">SUM(AG8:AG19)</f>
        <v>12198</v>
      </c>
      <c r="AH20" s="61">
        <f t="shared" ref="AH20:AJ20" si="10">SUM(AH8:AH19)</f>
        <v>12340</v>
      </c>
      <c r="AI20" s="61">
        <f t="shared" si="10"/>
        <v>11980</v>
      </c>
      <c r="AJ20" s="61">
        <f t="shared" si="10"/>
        <v>11639</v>
      </c>
      <c r="AK20" s="87">
        <v>11639</v>
      </c>
      <c r="AL20" s="61">
        <f t="shared" ref="AL20:AN20" si="11">SUM(AL8:AL19)</f>
        <v>10161</v>
      </c>
      <c r="AM20" s="61">
        <f t="shared" si="11"/>
        <v>7871</v>
      </c>
      <c r="AN20" s="61">
        <f t="shared" si="11"/>
        <v>7442</v>
      </c>
      <c r="AO20" s="87">
        <f t="shared" si="2"/>
        <v>25474</v>
      </c>
      <c r="AP20" s="14"/>
    </row>
    <row r="21" spans="2:42" x14ac:dyDescent="0.35">
      <c r="B21" s="1" t="s">
        <v>150</v>
      </c>
      <c r="C21" s="10"/>
      <c r="D21" s="10"/>
      <c r="E21" s="10"/>
      <c r="F21" s="10"/>
      <c r="G21" s="43"/>
      <c r="H21" s="10"/>
      <c r="I21" s="10"/>
      <c r="J21" s="10"/>
      <c r="K21" s="10"/>
      <c r="L21" s="43"/>
      <c r="M21" s="10"/>
      <c r="N21" s="10"/>
      <c r="O21" s="10"/>
      <c r="P21" s="10"/>
      <c r="Q21" s="97"/>
      <c r="R21" s="10"/>
      <c r="S21" s="10"/>
      <c r="T21" s="62"/>
      <c r="U21" s="62"/>
      <c r="V21" s="97"/>
      <c r="W21" s="62"/>
      <c r="X21" s="62"/>
      <c r="Y21" s="62"/>
      <c r="Z21" s="62"/>
      <c r="AA21" s="97"/>
      <c r="AB21" s="62"/>
      <c r="AC21" s="62"/>
      <c r="AD21" s="62"/>
      <c r="AE21" s="62"/>
      <c r="AF21" s="97"/>
      <c r="AG21" s="62"/>
      <c r="AH21" s="62"/>
      <c r="AI21" s="62"/>
      <c r="AJ21" s="62"/>
      <c r="AK21" s="97"/>
      <c r="AL21" s="62"/>
      <c r="AM21" s="62"/>
      <c r="AN21" s="62"/>
      <c r="AO21" s="97"/>
      <c r="AP21" s="14"/>
    </row>
    <row r="22" spans="2:42" x14ac:dyDescent="0.35">
      <c r="B22" s="2" t="s">
        <v>106</v>
      </c>
      <c r="C22" s="7">
        <v>707</v>
      </c>
      <c r="D22" s="7">
        <v>783</v>
      </c>
      <c r="E22" s="7">
        <v>784</v>
      </c>
      <c r="F22" s="7">
        <v>188</v>
      </c>
      <c r="G22" s="36">
        <v>188</v>
      </c>
      <c r="H22" s="7">
        <v>207</v>
      </c>
      <c r="I22" s="7">
        <v>230</v>
      </c>
      <c r="J22" s="7">
        <v>237</v>
      </c>
      <c r="K22" s="7">
        <v>489</v>
      </c>
      <c r="L22" s="36">
        <v>489</v>
      </c>
      <c r="M22" s="7">
        <v>479</v>
      </c>
      <c r="N22" s="7">
        <v>403</v>
      </c>
      <c r="O22" s="7">
        <v>377</v>
      </c>
      <c r="P22" s="7">
        <v>942</v>
      </c>
      <c r="Q22" s="84">
        <v>942</v>
      </c>
      <c r="R22" s="7">
        <v>930</v>
      </c>
      <c r="S22" s="7">
        <v>862</v>
      </c>
      <c r="T22" s="56">
        <v>879</v>
      </c>
      <c r="U22" s="56">
        <v>65</v>
      </c>
      <c r="V22" s="84">
        <v>65</v>
      </c>
      <c r="W22" s="56">
        <v>72</v>
      </c>
      <c r="X22" s="56">
        <v>67</v>
      </c>
      <c r="Y22" s="56">
        <v>75</v>
      </c>
      <c r="Z22" s="56">
        <v>142</v>
      </c>
      <c r="AA22" s="84">
        <v>142</v>
      </c>
      <c r="AB22" s="56">
        <v>194</v>
      </c>
      <c r="AC22" s="56">
        <v>222</v>
      </c>
      <c r="AD22" s="56">
        <v>231</v>
      </c>
      <c r="AE22" s="56">
        <f>AF22</f>
        <v>189</v>
      </c>
      <c r="AF22" s="84">
        <v>189</v>
      </c>
      <c r="AG22" s="56">
        <v>139</v>
      </c>
      <c r="AH22" s="56">
        <v>124</v>
      </c>
      <c r="AI22" s="56">
        <v>135</v>
      </c>
      <c r="AJ22" s="56">
        <v>170</v>
      </c>
      <c r="AK22" s="84">
        <v>170</v>
      </c>
      <c r="AL22" s="56">
        <v>159</v>
      </c>
      <c r="AM22" s="56">
        <v>813</v>
      </c>
      <c r="AN22" s="56">
        <v>890</v>
      </c>
      <c r="AO22" s="84">
        <f>SUM(AL22:AN22)</f>
        <v>1862</v>
      </c>
      <c r="AP22" s="14"/>
    </row>
    <row r="23" spans="2:42" x14ac:dyDescent="0.35">
      <c r="B23" s="1" t="s">
        <v>153</v>
      </c>
      <c r="C23" s="7"/>
      <c r="D23" s="7"/>
      <c r="E23" s="7"/>
      <c r="F23" s="7"/>
      <c r="G23" s="36"/>
      <c r="H23" s="7"/>
      <c r="I23" s="7"/>
      <c r="J23" s="7"/>
      <c r="K23" s="7"/>
      <c r="L23" s="36"/>
      <c r="M23" s="7"/>
      <c r="N23" s="7"/>
      <c r="O23" s="7"/>
      <c r="P23" s="7"/>
      <c r="Q23" s="84"/>
      <c r="R23" s="7"/>
      <c r="S23" s="7"/>
      <c r="T23" s="56"/>
      <c r="U23" s="56"/>
      <c r="V23" s="84"/>
      <c r="W23" s="56"/>
      <c r="X23" s="56"/>
      <c r="Y23" s="56"/>
      <c r="Z23" s="56"/>
      <c r="AA23" s="84"/>
      <c r="AB23" s="56"/>
      <c r="AC23" s="56"/>
      <c r="AD23" s="56"/>
      <c r="AE23" s="56"/>
      <c r="AF23" s="84"/>
      <c r="AG23" s="56"/>
      <c r="AH23" s="56"/>
      <c r="AI23" s="56"/>
      <c r="AJ23" s="56"/>
      <c r="AK23" s="84"/>
      <c r="AL23" s="56"/>
      <c r="AM23" s="56"/>
      <c r="AN23" s="56"/>
      <c r="AO23" s="84"/>
      <c r="AP23" s="14"/>
    </row>
    <row r="24" spans="2:42" x14ac:dyDescent="0.35">
      <c r="B24" s="2" t="s">
        <v>151</v>
      </c>
      <c r="C24" s="7">
        <f>3+53-717+688</f>
        <v>27</v>
      </c>
      <c r="D24" s="16">
        <f>-2+47-58</f>
        <v>-13</v>
      </c>
      <c r="E24" s="16">
        <f>-4+78+28-142</f>
        <v>-40</v>
      </c>
      <c r="F24" s="7">
        <v>4</v>
      </c>
      <c r="G24" s="36">
        <v>4</v>
      </c>
      <c r="H24" s="7">
        <f>50-2+130-14-95</f>
        <v>69</v>
      </c>
      <c r="I24" s="7">
        <f>225+279-18-60</f>
        <v>426</v>
      </c>
      <c r="J24" s="7">
        <f>221+178+253-7</f>
        <v>645</v>
      </c>
      <c r="K24" s="7">
        <v>306</v>
      </c>
      <c r="L24" s="36">
        <v>306</v>
      </c>
      <c r="M24" s="7">
        <v>159</v>
      </c>
      <c r="N24" s="16">
        <v>-12</v>
      </c>
      <c r="O24" s="7">
        <v>25</v>
      </c>
      <c r="P24" s="7">
        <v>10</v>
      </c>
      <c r="Q24" s="84">
        <v>10</v>
      </c>
      <c r="R24" s="7">
        <v>38</v>
      </c>
      <c r="S24" s="7">
        <v>66</v>
      </c>
      <c r="T24" s="56">
        <v>116</v>
      </c>
      <c r="U24" s="56">
        <v>2</v>
      </c>
      <c r="V24" s="84">
        <v>2</v>
      </c>
      <c r="W24" s="56">
        <v>3</v>
      </c>
      <c r="X24" s="56">
        <v>20</v>
      </c>
      <c r="Y24" s="56">
        <v>16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>
        <f t="shared" ref="AE24" si="12">AF24</f>
        <v>-235</v>
      </c>
      <c r="AF24" s="84">
        <v>-235</v>
      </c>
      <c r="AG24" s="56">
        <v>-206</v>
      </c>
      <c r="AH24" s="56">
        <v>-235</v>
      </c>
      <c r="AI24" s="56">
        <v>-237</v>
      </c>
      <c r="AJ24" s="56">
        <v>-13</v>
      </c>
      <c r="AK24" s="84">
        <v>-13</v>
      </c>
      <c r="AL24" s="56">
        <v>-16</v>
      </c>
      <c r="AM24" s="56">
        <v>-16</v>
      </c>
      <c r="AN24" s="56">
        <v>-16</v>
      </c>
      <c r="AO24" s="84">
        <f t="shared" ref="AO24:AO37" si="13">SUM(AL24:AN24)</f>
        <v>-48</v>
      </c>
      <c r="AP24" s="14"/>
    </row>
    <row r="25" spans="2:42" x14ac:dyDescent="0.35">
      <c r="B25" s="2" t="s">
        <v>154</v>
      </c>
      <c r="C25" s="7">
        <v>0</v>
      </c>
      <c r="D25" s="7">
        <v>0</v>
      </c>
      <c r="E25" s="7">
        <v>0</v>
      </c>
      <c r="F25" s="7">
        <v>0</v>
      </c>
      <c r="G25" s="36">
        <v>0</v>
      </c>
      <c r="H25" s="7">
        <v>0</v>
      </c>
      <c r="I25" s="7">
        <v>0</v>
      </c>
      <c r="J25" s="7">
        <v>0</v>
      </c>
      <c r="K25" s="16">
        <v>-267</v>
      </c>
      <c r="L25" s="39">
        <v>-267</v>
      </c>
      <c r="M25" s="16">
        <v>-110</v>
      </c>
      <c r="N25" s="16">
        <v>-56</v>
      </c>
      <c r="O25" s="16">
        <v>-204</v>
      </c>
      <c r="P25" s="7">
        <v>211</v>
      </c>
      <c r="Q25" s="84">
        <v>211</v>
      </c>
      <c r="R25" s="7">
        <v>54</v>
      </c>
      <c r="S25" s="7"/>
      <c r="T25" s="56"/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>
        <v>0</v>
      </c>
      <c r="AF25" s="84">
        <v>0</v>
      </c>
      <c r="AG25" s="56">
        <v>0</v>
      </c>
      <c r="AH25" s="56"/>
      <c r="AI25" s="56">
        <v>0</v>
      </c>
      <c r="AJ25" s="56">
        <v>0</v>
      </c>
      <c r="AK25" s="84">
        <v>0</v>
      </c>
      <c r="AL25" s="56"/>
      <c r="AM25" s="56"/>
      <c r="AN25" s="56"/>
      <c r="AO25" s="84">
        <f t="shared" si="13"/>
        <v>0</v>
      </c>
      <c r="AP25" s="14"/>
    </row>
    <row r="26" spans="2:42" x14ac:dyDescent="0.35">
      <c r="B26" s="2" t="s">
        <v>155</v>
      </c>
      <c r="C26" s="16">
        <v>-540</v>
      </c>
      <c r="D26" s="16">
        <v>-550</v>
      </c>
      <c r="E26" s="16">
        <v>-550</v>
      </c>
      <c r="F26" s="16">
        <v>-312</v>
      </c>
      <c r="G26" s="39">
        <v>-312</v>
      </c>
      <c r="H26" s="16">
        <v>-10</v>
      </c>
      <c r="I26" s="7">
        <v>249</v>
      </c>
      <c r="J26" s="7">
        <v>392</v>
      </c>
      <c r="K26" s="16">
        <v>-625</v>
      </c>
      <c r="L26" s="39">
        <v>-625</v>
      </c>
      <c r="M26" s="16">
        <v>-625</v>
      </c>
      <c r="N26" s="16">
        <v>-617</v>
      </c>
      <c r="O26" s="16">
        <v>-617</v>
      </c>
      <c r="P26" s="16">
        <v>-130</v>
      </c>
      <c r="Q26" s="84">
        <v>-130</v>
      </c>
      <c r="R26" s="16">
        <v>-6902</v>
      </c>
      <c r="S26" s="16">
        <v>-6841</v>
      </c>
      <c r="T26" s="56">
        <v>-6841</v>
      </c>
      <c r="U26" s="56">
        <v>-6719</v>
      </c>
      <c r="V26" s="84">
        <v>-6719</v>
      </c>
      <c r="W26" s="56">
        <v>53</v>
      </c>
      <c r="X26" s="56">
        <v>0</v>
      </c>
      <c r="Y26" s="56">
        <v>0</v>
      </c>
      <c r="Z26" s="56">
        <v>-427</v>
      </c>
      <c r="AA26" s="84">
        <v>-427</v>
      </c>
      <c r="AB26" s="56">
        <v>-1056</v>
      </c>
      <c r="AC26" s="56">
        <v>-1056</v>
      </c>
      <c r="AD26" s="56">
        <v>-1056</v>
      </c>
      <c r="AE26" s="56">
        <f t="shared" ref="AE26:AE28" si="14">AF26</f>
        <v>-629</v>
      </c>
      <c r="AF26" s="84">
        <v>-629</v>
      </c>
      <c r="AG26" s="56">
        <v>761</v>
      </c>
      <c r="AH26" s="56">
        <v>761</v>
      </c>
      <c r="AI26" s="56">
        <v>887</v>
      </c>
      <c r="AJ26" s="56">
        <v>776</v>
      </c>
      <c r="AK26" s="84">
        <v>776</v>
      </c>
      <c r="AL26" s="56">
        <v>17</v>
      </c>
      <c r="AM26" s="56">
        <v>17</v>
      </c>
      <c r="AN26" s="56">
        <v>17</v>
      </c>
      <c r="AO26" s="84">
        <f t="shared" si="13"/>
        <v>51</v>
      </c>
      <c r="AP26" s="14"/>
    </row>
    <row r="27" spans="2:42" ht="28.5" x14ac:dyDescent="0.35">
      <c r="B27" s="31" t="s">
        <v>177</v>
      </c>
      <c r="C27" s="7">
        <v>648</v>
      </c>
      <c r="D27" s="7">
        <v>679</v>
      </c>
      <c r="E27" s="7">
        <v>587</v>
      </c>
      <c r="F27" s="7">
        <v>1121</v>
      </c>
      <c r="G27" s="36">
        <v>1121</v>
      </c>
      <c r="H27" s="7">
        <f>1129-130</f>
        <v>999</v>
      </c>
      <c r="I27" s="7">
        <f>1113-309</f>
        <v>804</v>
      </c>
      <c r="J27" s="7">
        <f>1105-71-385</f>
        <v>649</v>
      </c>
      <c r="K27" s="16">
        <v>-10</v>
      </c>
      <c r="L27" s="39">
        <v>-10</v>
      </c>
      <c r="M27" s="16">
        <v>-28</v>
      </c>
      <c r="N27" s="7">
        <v>3</v>
      </c>
      <c r="O27" s="7">
        <v>25</v>
      </c>
      <c r="P27" s="16">
        <v>-24</v>
      </c>
      <c r="Q27" s="84">
        <v>-24</v>
      </c>
      <c r="R27" s="16">
        <v>-22</v>
      </c>
      <c r="S27" s="16">
        <v>-28</v>
      </c>
      <c r="T27" s="56">
        <v>537</v>
      </c>
      <c r="U27" s="56">
        <v>723</v>
      </c>
      <c r="V27" s="84">
        <v>723</v>
      </c>
      <c r="W27" s="56">
        <v>2882</v>
      </c>
      <c r="X27" s="56">
        <v>3166</v>
      </c>
      <c r="Y27" s="56">
        <v>2965</v>
      </c>
      <c r="Z27" s="56">
        <v>2802</v>
      </c>
      <c r="AA27" s="84">
        <v>2802</v>
      </c>
      <c r="AB27" s="56">
        <v>643</v>
      </c>
      <c r="AC27" s="56">
        <v>369</v>
      </c>
      <c r="AD27" s="56">
        <v>187</v>
      </c>
      <c r="AE27" s="56">
        <f t="shared" si="14"/>
        <v>-36</v>
      </c>
      <c r="AF27" s="84">
        <v>-36</v>
      </c>
      <c r="AG27" s="56">
        <v>-854</v>
      </c>
      <c r="AH27" s="56">
        <v>-1049</v>
      </c>
      <c r="AI27" s="56">
        <v>-1132</v>
      </c>
      <c r="AJ27" s="56">
        <v>11</v>
      </c>
      <c r="AK27" s="84">
        <v>11</v>
      </c>
      <c r="AL27" s="56">
        <v>-102</v>
      </c>
      <c r="AM27" s="56">
        <v>144</v>
      </c>
      <c r="AN27" s="56">
        <v>193</v>
      </c>
      <c r="AO27" s="84">
        <f t="shared" si="13"/>
        <v>235</v>
      </c>
      <c r="AP27" s="14"/>
    </row>
    <row r="28" spans="2:42" x14ac:dyDescent="0.35">
      <c r="B28" s="2" t="s">
        <v>156</v>
      </c>
      <c r="C28" s="16">
        <v>-3</v>
      </c>
      <c r="D28" s="7">
        <v>40</v>
      </c>
      <c r="E28" s="7">
        <v>40</v>
      </c>
      <c r="F28" s="7">
        <v>1031</v>
      </c>
      <c r="G28" s="36">
        <v>1031</v>
      </c>
      <c r="H28" s="7">
        <v>1161</v>
      </c>
      <c r="I28" s="7">
        <v>988</v>
      </c>
      <c r="J28" s="7">
        <v>988</v>
      </c>
      <c r="K28" s="16">
        <v>-71</v>
      </c>
      <c r="L28" s="39">
        <v>-71</v>
      </c>
      <c r="M28" s="16">
        <v>-71</v>
      </c>
      <c r="N28" s="16">
        <v>-71</v>
      </c>
      <c r="O28" s="16">
        <v>-71</v>
      </c>
      <c r="P28" s="7">
        <v>0</v>
      </c>
      <c r="Q28" s="84">
        <v>0</v>
      </c>
      <c r="R28" s="7">
        <v>0</v>
      </c>
      <c r="S28" s="7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>
        <f t="shared" si="14"/>
        <v>827</v>
      </c>
      <c r="AF28" s="84">
        <v>827</v>
      </c>
      <c r="AG28" s="56">
        <v>827</v>
      </c>
      <c r="AH28" s="56">
        <v>827</v>
      </c>
      <c r="AI28" s="56">
        <v>827</v>
      </c>
      <c r="AJ28" s="56">
        <v>-827</v>
      </c>
      <c r="AK28" s="84">
        <v>-827</v>
      </c>
      <c r="AL28" s="56">
        <v>0</v>
      </c>
      <c r="AM28" s="56">
        <v>0</v>
      </c>
      <c r="AN28" s="56"/>
      <c r="AO28" s="84">
        <f t="shared" si="13"/>
        <v>0</v>
      </c>
      <c r="AP28" s="14"/>
    </row>
    <row r="29" spans="2:42" x14ac:dyDescent="0.35">
      <c r="B29" s="2" t="s">
        <v>157</v>
      </c>
      <c r="C29" s="7">
        <v>43</v>
      </c>
      <c r="D29" s="7">
        <v>40</v>
      </c>
      <c r="E29" s="7">
        <v>38</v>
      </c>
      <c r="F29" s="16">
        <v>-2</v>
      </c>
      <c r="G29" s="39">
        <v>-2</v>
      </c>
      <c r="H29" s="7">
        <v>8</v>
      </c>
      <c r="I29" s="7">
        <v>16</v>
      </c>
      <c r="J29" s="7">
        <v>13</v>
      </c>
      <c r="K29" s="7">
        <v>8</v>
      </c>
      <c r="L29" s="36">
        <v>8</v>
      </c>
      <c r="M29" s="7">
        <v>3</v>
      </c>
      <c r="N29" s="7">
        <v>1</v>
      </c>
      <c r="O29" s="7">
        <v>5</v>
      </c>
      <c r="P29" s="7">
        <v>0</v>
      </c>
      <c r="Q29" s="84">
        <v>0</v>
      </c>
      <c r="R29" s="7">
        <v>0</v>
      </c>
      <c r="S29" s="16">
        <v>-6</v>
      </c>
      <c r="T29" s="56">
        <v>-5</v>
      </c>
      <c r="U29" s="56">
        <v>0</v>
      </c>
      <c r="V29" s="84">
        <v>0</v>
      </c>
      <c r="W29" s="56">
        <v>0</v>
      </c>
      <c r="X29" s="56">
        <v>0</v>
      </c>
      <c r="Y29" s="56">
        <v>0</v>
      </c>
      <c r="Z29" s="56">
        <v>0</v>
      </c>
      <c r="AA29" s="84">
        <v>0</v>
      </c>
      <c r="AB29" s="56">
        <v>0</v>
      </c>
      <c r="AC29" s="56">
        <v>0</v>
      </c>
      <c r="AD29" s="56">
        <v>0</v>
      </c>
      <c r="AE29" s="56">
        <v>0</v>
      </c>
      <c r="AF29" s="84">
        <v>0</v>
      </c>
      <c r="AG29" s="56">
        <v>0</v>
      </c>
      <c r="AH29" s="56">
        <v>0</v>
      </c>
      <c r="AI29" s="56">
        <v>0</v>
      </c>
      <c r="AJ29" s="56">
        <v>0</v>
      </c>
      <c r="AK29" s="84">
        <v>0</v>
      </c>
      <c r="AL29" s="56">
        <v>0</v>
      </c>
      <c r="AM29" s="56">
        <v>0</v>
      </c>
      <c r="AN29" s="56"/>
      <c r="AO29" s="84">
        <f t="shared" si="13"/>
        <v>0</v>
      </c>
      <c r="AP29" s="14"/>
    </row>
    <row r="30" spans="2:42" x14ac:dyDescent="0.35">
      <c r="B30" s="2" t="s">
        <v>158</v>
      </c>
      <c r="C30" s="7">
        <v>0</v>
      </c>
      <c r="D30" s="7">
        <v>0</v>
      </c>
      <c r="E30" s="7">
        <v>0</v>
      </c>
      <c r="F30" s="7">
        <v>0</v>
      </c>
      <c r="G30" s="36">
        <v>0</v>
      </c>
      <c r="H30" s="7">
        <v>0</v>
      </c>
      <c r="I30" s="7">
        <v>0</v>
      </c>
      <c r="J30" s="7">
        <v>99</v>
      </c>
      <c r="K30" s="7">
        <v>99</v>
      </c>
      <c r="L30" s="36">
        <v>99</v>
      </c>
      <c r="M30" s="7">
        <v>99</v>
      </c>
      <c r="N30" s="7">
        <v>99</v>
      </c>
      <c r="O30" s="7">
        <v>0</v>
      </c>
      <c r="P30" s="7">
        <v>0</v>
      </c>
      <c r="Q30" s="84">
        <v>0</v>
      </c>
      <c r="R30" s="7">
        <v>0</v>
      </c>
      <c r="S30" s="7">
        <v>0</v>
      </c>
      <c r="T30" s="56">
        <v>0</v>
      </c>
      <c r="U30" s="56">
        <v>0</v>
      </c>
      <c r="V30" s="84">
        <v>0</v>
      </c>
      <c r="W30" s="56">
        <v>0</v>
      </c>
      <c r="X30" s="56">
        <v>0</v>
      </c>
      <c r="Y30" s="56">
        <v>0</v>
      </c>
      <c r="Z30" s="56">
        <v>0</v>
      </c>
      <c r="AA30" s="84">
        <v>0</v>
      </c>
      <c r="AB30" s="56">
        <v>0</v>
      </c>
      <c r="AC30" s="56">
        <v>0</v>
      </c>
      <c r="AD30" s="56">
        <v>0</v>
      </c>
      <c r="AE30" s="56">
        <v>0</v>
      </c>
      <c r="AF30" s="84">
        <v>0</v>
      </c>
      <c r="AG30" s="56">
        <v>0</v>
      </c>
      <c r="AH30" s="56">
        <v>0</v>
      </c>
      <c r="AI30" s="56">
        <v>0</v>
      </c>
      <c r="AJ30" s="56">
        <v>0</v>
      </c>
      <c r="AK30" s="84">
        <v>0</v>
      </c>
      <c r="AL30" s="56">
        <v>0</v>
      </c>
      <c r="AM30" s="56">
        <v>0</v>
      </c>
      <c r="AN30" s="56"/>
      <c r="AO30" s="84">
        <f t="shared" si="13"/>
        <v>0</v>
      </c>
      <c r="AP30" s="14"/>
    </row>
    <row r="31" spans="2:42" x14ac:dyDescent="0.35">
      <c r="B31" s="2" t="s">
        <v>230</v>
      </c>
      <c r="C31" s="7">
        <v>0</v>
      </c>
      <c r="D31" s="7">
        <v>0</v>
      </c>
      <c r="E31" s="7">
        <v>0</v>
      </c>
      <c r="F31" s="7">
        <v>0</v>
      </c>
      <c r="G31" s="36">
        <v>0</v>
      </c>
      <c r="H31" s="7">
        <v>0</v>
      </c>
      <c r="I31" s="7">
        <v>0</v>
      </c>
      <c r="J31" s="7">
        <v>0</v>
      </c>
      <c r="K31" s="7">
        <v>0</v>
      </c>
      <c r="L31" s="36">
        <v>0</v>
      </c>
      <c r="M31" s="7">
        <v>0</v>
      </c>
      <c r="N31" s="16">
        <v>-147</v>
      </c>
      <c r="O31" s="16">
        <v>-147</v>
      </c>
      <c r="P31" s="16">
        <v>-302</v>
      </c>
      <c r="Q31" s="84">
        <v>-302</v>
      </c>
      <c r="R31" s="16">
        <v>-302</v>
      </c>
      <c r="S31" s="16">
        <v>-155</v>
      </c>
      <c r="T31" s="56">
        <v>-155</v>
      </c>
      <c r="U31" s="56">
        <v>0</v>
      </c>
      <c r="V31" s="84">
        <v>0</v>
      </c>
      <c r="W31" s="56">
        <v>0</v>
      </c>
      <c r="X31" s="56">
        <v>0</v>
      </c>
      <c r="Y31" s="56">
        <v>0</v>
      </c>
      <c r="Z31" s="56">
        <v>0</v>
      </c>
      <c r="AA31" s="84">
        <v>0</v>
      </c>
      <c r="AB31" s="56">
        <v>0</v>
      </c>
      <c r="AC31" s="56">
        <v>0</v>
      </c>
      <c r="AD31" s="56">
        <v>-296</v>
      </c>
      <c r="AE31" s="56">
        <f t="shared" ref="AE31" si="15">AF31</f>
        <v>-243</v>
      </c>
      <c r="AF31" s="84">
        <v>-243</v>
      </c>
      <c r="AG31" s="56">
        <v>-1218</v>
      </c>
      <c r="AH31" s="56">
        <v>-1432</v>
      </c>
      <c r="AI31" s="56">
        <v>-1432</v>
      </c>
      <c r="AJ31" s="56">
        <v>-1361</v>
      </c>
      <c r="AK31" s="84">
        <v>-1361</v>
      </c>
      <c r="AL31" s="56">
        <v>-118</v>
      </c>
      <c r="AM31" s="56">
        <v>-147</v>
      </c>
      <c r="AN31" s="56">
        <v>-147</v>
      </c>
      <c r="AO31" s="84">
        <f t="shared" si="13"/>
        <v>-412</v>
      </c>
      <c r="AP31" s="14"/>
    </row>
    <row r="32" spans="2:42" x14ac:dyDescent="0.35">
      <c r="B32" s="2" t="s">
        <v>241</v>
      </c>
      <c r="C32" s="7">
        <v>0</v>
      </c>
      <c r="D32" s="7">
        <v>0</v>
      </c>
      <c r="E32" s="7">
        <v>0</v>
      </c>
      <c r="F32" s="7">
        <v>0</v>
      </c>
      <c r="G32" s="36">
        <v>0</v>
      </c>
      <c r="H32" s="7">
        <v>0</v>
      </c>
      <c r="I32" s="7">
        <v>0</v>
      </c>
      <c r="J32" s="7">
        <v>0</v>
      </c>
      <c r="K32" s="7">
        <v>0</v>
      </c>
      <c r="L32" s="36">
        <v>0</v>
      </c>
      <c r="M32" s="7">
        <v>0</v>
      </c>
      <c r="N32" s="16">
        <v>0</v>
      </c>
      <c r="O32" s="16">
        <v>0</v>
      </c>
      <c r="P32" s="16">
        <v>0</v>
      </c>
      <c r="Q32" s="84">
        <v>0</v>
      </c>
      <c r="R32" s="16">
        <v>0</v>
      </c>
      <c r="S32" s="16">
        <v>0</v>
      </c>
      <c r="T32" s="56">
        <v>0</v>
      </c>
      <c r="U32" s="56"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>
        <v>0</v>
      </c>
      <c r="AF32" s="84">
        <v>0</v>
      </c>
      <c r="AG32" s="56">
        <v>0</v>
      </c>
      <c r="AH32" s="56">
        <v>52</v>
      </c>
      <c r="AI32" s="56">
        <v>92</v>
      </c>
      <c r="AJ32" s="56">
        <v>143</v>
      </c>
      <c r="AK32" s="84">
        <v>143</v>
      </c>
      <c r="AL32" s="56">
        <v>0</v>
      </c>
      <c r="AM32" s="56">
        <v>0</v>
      </c>
      <c r="AN32" s="56">
        <v>16</v>
      </c>
      <c r="AO32" s="84">
        <f t="shared" si="13"/>
        <v>16</v>
      </c>
      <c r="AP32" s="14"/>
    </row>
    <row r="33" spans="1:42" x14ac:dyDescent="0.35">
      <c r="B33" s="2" t="s">
        <v>240</v>
      </c>
      <c r="C33" s="7">
        <v>0</v>
      </c>
      <c r="D33" s="7">
        <v>0</v>
      </c>
      <c r="E33" s="7">
        <v>0</v>
      </c>
      <c r="F33" s="7">
        <v>0</v>
      </c>
      <c r="G33" s="36">
        <v>0</v>
      </c>
      <c r="H33" s="7">
        <v>0</v>
      </c>
      <c r="I33" s="7">
        <v>0</v>
      </c>
      <c r="J33" s="7">
        <v>0</v>
      </c>
      <c r="K33" s="7">
        <v>0</v>
      </c>
      <c r="L33" s="36">
        <v>0</v>
      </c>
      <c r="M33" s="7">
        <v>0</v>
      </c>
      <c r="N33" s="16">
        <v>0</v>
      </c>
      <c r="O33" s="16">
        <v>0</v>
      </c>
      <c r="P33" s="16">
        <v>0</v>
      </c>
      <c r="Q33" s="84">
        <v>0</v>
      </c>
      <c r="R33" s="16">
        <v>0</v>
      </c>
      <c r="S33" s="16">
        <v>0</v>
      </c>
      <c r="T33" s="56">
        <v>0</v>
      </c>
      <c r="U33" s="56">
        <v>0</v>
      </c>
      <c r="V33" s="84">
        <v>0</v>
      </c>
      <c r="W33" s="56">
        <v>0</v>
      </c>
      <c r="X33" s="56">
        <v>0</v>
      </c>
      <c r="Y33" s="56">
        <v>0</v>
      </c>
      <c r="Z33" s="56">
        <v>0</v>
      </c>
      <c r="AA33" s="84">
        <v>0</v>
      </c>
      <c r="AB33" s="56">
        <v>0</v>
      </c>
      <c r="AC33" s="56">
        <v>0</v>
      </c>
      <c r="AD33" s="56">
        <v>0</v>
      </c>
      <c r="AE33" s="56">
        <v>0</v>
      </c>
      <c r="AF33" s="84">
        <v>0</v>
      </c>
      <c r="AG33" s="56">
        <v>0</v>
      </c>
      <c r="AH33" s="56">
        <v>-43</v>
      </c>
      <c r="AI33" s="56">
        <v>-78</v>
      </c>
      <c r="AJ33" s="56">
        <v>-124</v>
      </c>
      <c r="AK33" s="84">
        <v>-124</v>
      </c>
      <c r="AL33" s="56">
        <v>157</v>
      </c>
      <c r="AM33" s="56">
        <v>181</v>
      </c>
      <c r="AN33" s="56">
        <v>-48</v>
      </c>
      <c r="AO33" s="84">
        <f t="shared" si="13"/>
        <v>290</v>
      </c>
      <c r="AP33" s="14"/>
    </row>
    <row r="34" spans="1:42" x14ac:dyDescent="0.35">
      <c r="B34" s="2" t="s">
        <v>246</v>
      </c>
      <c r="C34" s="7">
        <v>0</v>
      </c>
      <c r="D34" s="7">
        <v>0</v>
      </c>
      <c r="E34" s="7">
        <v>0</v>
      </c>
      <c r="F34" s="7">
        <v>0</v>
      </c>
      <c r="G34" s="36">
        <v>0</v>
      </c>
      <c r="H34" s="7">
        <v>0</v>
      </c>
      <c r="I34" s="7">
        <v>0</v>
      </c>
      <c r="J34" s="7">
        <v>0</v>
      </c>
      <c r="K34" s="7">
        <v>0</v>
      </c>
      <c r="L34" s="36">
        <v>0</v>
      </c>
      <c r="M34" s="7">
        <v>0</v>
      </c>
      <c r="N34" s="16">
        <v>0</v>
      </c>
      <c r="O34" s="16">
        <v>0</v>
      </c>
      <c r="P34" s="16">
        <v>0</v>
      </c>
      <c r="Q34" s="84">
        <v>0</v>
      </c>
      <c r="R34" s="16">
        <v>0</v>
      </c>
      <c r="S34" s="16">
        <v>0</v>
      </c>
      <c r="T34" s="56">
        <v>0</v>
      </c>
      <c r="U34" s="56">
        <v>0</v>
      </c>
      <c r="V34" s="84">
        <v>0</v>
      </c>
      <c r="W34" s="56">
        <v>0</v>
      </c>
      <c r="X34" s="56">
        <v>0</v>
      </c>
      <c r="Y34" s="56">
        <v>0</v>
      </c>
      <c r="Z34" s="56">
        <v>0</v>
      </c>
      <c r="AA34" s="84">
        <v>0</v>
      </c>
      <c r="AB34" s="56">
        <v>0</v>
      </c>
      <c r="AC34" s="56">
        <v>0</v>
      </c>
      <c r="AD34" s="56">
        <v>0</v>
      </c>
      <c r="AE34" s="56">
        <v>0</v>
      </c>
      <c r="AF34" s="84">
        <v>0</v>
      </c>
      <c r="AG34" s="56">
        <v>0</v>
      </c>
      <c r="AH34" s="56">
        <v>0</v>
      </c>
      <c r="AI34" s="56">
        <v>0</v>
      </c>
      <c r="AJ34" s="56">
        <v>48</v>
      </c>
      <c r="AK34" s="84">
        <v>48</v>
      </c>
      <c r="AL34" s="56">
        <v>-54</v>
      </c>
      <c r="AM34" s="56">
        <v>-78</v>
      </c>
      <c r="AN34" s="56">
        <v>0</v>
      </c>
      <c r="AO34" s="84">
        <f t="shared" si="13"/>
        <v>-132</v>
      </c>
      <c r="AP34" s="14"/>
    </row>
    <row r="35" spans="1:42" x14ac:dyDescent="0.35">
      <c r="B35" s="2" t="s">
        <v>159</v>
      </c>
      <c r="C35" s="7">
        <v>4</v>
      </c>
      <c r="D35" s="7">
        <v>3</v>
      </c>
      <c r="E35" s="16">
        <v>-2</v>
      </c>
      <c r="F35" s="7">
        <v>1</v>
      </c>
      <c r="G35" s="36">
        <v>1</v>
      </c>
      <c r="H35" s="7">
        <v>1</v>
      </c>
      <c r="I35" s="7">
        <v>48</v>
      </c>
      <c r="J35" s="7">
        <v>48</v>
      </c>
      <c r="K35" s="7">
        <v>113</v>
      </c>
      <c r="L35" s="36">
        <v>113</v>
      </c>
      <c r="M35" s="7">
        <v>107</v>
      </c>
      <c r="N35" s="7">
        <v>142</v>
      </c>
      <c r="O35" s="7">
        <v>402</v>
      </c>
      <c r="P35" s="7">
        <v>322</v>
      </c>
      <c r="Q35" s="84">
        <v>322</v>
      </c>
      <c r="R35" s="7">
        <v>433</v>
      </c>
      <c r="S35" s="7">
        <v>443</v>
      </c>
      <c r="T35" s="56">
        <v>230</v>
      </c>
      <c r="U35" s="56">
        <v>252</v>
      </c>
      <c r="V35" s="84">
        <v>252</v>
      </c>
      <c r="W35" s="56">
        <v>11</v>
      </c>
      <c r="X35" s="56">
        <v>-12</v>
      </c>
      <c r="Y35" s="56">
        <v>-23</v>
      </c>
      <c r="Z35" s="56">
        <v>-247</v>
      </c>
      <c r="AA35" s="84">
        <v>-247</v>
      </c>
      <c r="AB35" s="56">
        <v>-14</v>
      </c>
      <c r="AC35" s="56">
        <v>7</v>
      </c>
      <c r="AD35" s="56">
        <v>-57</v>
      </c>
      <c r="AE35" s="56">
        <f t="shared" ref="AE35" si="16">AF35</f>
        <v>-234</v>
      </c>
      <c r="AF35" s="84">
        <v>-234</v>
      </c>
      <c r="AG35" s="56">
        <v>-478</v>
      </c>
      <c r="AH35" s="56">
        <v>-211</v>
      </c>
      <c r="AI35" s="56">
        <v>-186</v>
      </c>
      <c r="AJ35" s="56">
        <v>-2</v>
      </c>
      <c r="AK35" s="84">
        <v>-2</v>
      </c>
      <c r="AL35" s="56">
        <v>-179</v>
      </c>
      <c r="AM35" s="56">
        <v>555</v>
      </c>
      <c r="AN35" s="56">
        <v>697</v>
      </c>
      <c r="AO35" s="84">
        <f t="shared" si="13"/>
        <v>1073</v>
      </c>
      <c r="AP35" s="14"/>
    </row>
    <row r="36" spans="1:42" x14ac:dyDescent="0.35">
      <c r="B36" s="2"/>
      <c r="C36" s="7"/>
      <c r="D36" s="7"/>
      <c r="E36" s="7"/>
      <c r="F36" s="7"/>
      <c r="G36" s="36"/>
      <c r="H36" s="7"/>
      <c r="I36" s="7"/>
      <c r="J36" s="7"/>
      <c r="K36" s="7"/>
      <c r="L36" s="36"/>
      <c r="M36" s="7"/>
      <c r="N36" s="7"/>
      <c r="O36" s="7"/>
      <c r="P36" s="7"/>
      <c r="Q36" s="84"/>
      <c r="R36" s="7"/>
      <c r="S36" s="7"/>
      <c r="T36" s="56"/>
      <c r="U36" s="56"/>
      <c r="V36" s="84"/>
      <c r="W36" s="56"/>
      <c r="X36" s="56"/>
      <c r="Y36" s="56"/>
      <c r="Z36" s="56"/>
      <c r="AA36" s="84"/>
      <c r="AB36" s="56"/>
      <c r="AC36" s="56"/>
      <c r="AD36" s="56"/>
      <c r="AE36" s="56"/>
      <c r="AF36" s="84"/>
      <c r="AG36" s="56"/>
      <c r="AH36" s="56"/>
      <c r="AI36" s="56"/>
      <c r="AJ36" s="56"/>
      <c r="AK36" s="84"/>
      <c r="AL36" s="56"/>
      <c r="AM36" s="56"/>
      <c r="AN36" s="56"/>
      <c r="AO36" s="84">
        <f t="shared" si="13"/>
        <v>0</v>
      </c>
      <c r="AP36" s="14"/>
    </row>
    <row r="37" spans="1:42" ht="15" thickBot="1" x14ac:dyDescent="0.4">
      <c r="B37" s="1" t="s">
        <v>160</v>
      </c>
      <c r="C37" s="13">
        <f t="shared" ref="C37:O37" si="17">SUM(C20:C35)</f>
        <v>6459</v>
      </c>
      <c r="D37" s="13">
        <f t="shared" si="17"/>
        <v>6111</v>
      </c>
      <c r="E37" s="13">
        <f t="shared" si="17"/>
        <v>5776</v>
      </c>
      <c r="F37" s="13">
        <f t="shared" si="17"/>
        <v>4253</v>
      </c>
      <c r="G37" s="49">
        <f t="shared" si="17"/>
        <v>4253</v>
      </c>
      <c r="H37" s="13">
        <f t="shared" si="17"/>
        <v>3969</v>
      </c>
      <c r="I37" s="13">
        <f t="shared" si="17"/>
        <v>4037</v>
      </c>
      <c r="J37" s="13">
        <f t="shared" si="17"/>
        <v>4092</v>
      </c>
      <c r="K37" s="13">
        <f t="shared" si="17"/>
        <v>4760</v>
      </c>
      <c r="L37" s="49">
        <f t="shared" si="17"/>
        <v>4760</v>
      </c>
      <c r="M37" s="13">
        <f t="shared" si="17"/>
        <v>5222</v>
      </c>
      <c r="N37" s="13">
        <f t="shared" si="17"/>
        <v>5428</v>
      </c>
      <c r="O37" s="13">
        <f t="shared" si="17"/>
        <v>5905</v>
      </c>
      <c r="P37" s="13">
        <v>6878</v>
      </c>
      <c r="Q37" s="90">
        <f t="shared" ref="Q37:AJ37" si="18">SUM(Q20:Q35)</f>
        <v>6878</v>
      </c>
      <c r="R37" s="13">
        <f t="shared" si="18"/>
        <v>6969</v>
      </c>
      <c r="S37" s="13">
        <f t="shared" si="18"/>
        <v>6695</v>
      </c>
      <c r="T37" s="63">
        <f t="shared" si="18"/>
        <v>6222</v>
      </c>
      <c r="U37" s="63">
        <f t="shared" si="18"/>
        <v>5120</v>
      </c>
      <c r="V37" s="90">
        <f t="shared" si="18"/>
        <v>5120</v>
      </c>
      <c r="W37" s="63">
        <f t="shared" si="18"/>
        <v>4575</v>
      </c>
      <c r="X37" s="63">
        <f t="shared" si="18"/>
        <v>4358</v>
      </c>
      <c r="Y37" s="63">
        <f t="shared" si="18"/>
        <v>5849</v>
      </c>
      <c r="Z37" s="63">
        <f t="shared" si="18"/>
        <v>6917</v>
      </c>
      <c r="AA37" s="90">
        <f t="shared" si="18"/>
        <v>6917</v>
      </c>
      <c r="AB37" s="63">
        <f t="shared" si="18"/>
        <v>8805</v>
      </c>
      <c r="AC37" s="63">
        <f t="shared" si="18"/>
        <v>11182</v>
      </c>
      <c r="AD37" s="63">
        <f t="shared" si="18"/>
        <v>11758</v>
      </c>
      <c r="AE37" s="63">
        <f t="shared" si="18"/>
        <v>11459</v>
      </c>
      <c r="AF37" s="90">
        <f t="shared" si="18"/>
        <v>11459</v>
      </c>
      <c r="AG37" s="63">
        <f t="shared" si="18"/>
        <v>11169</v>
      </c>
      <c r="AH37" s="63">
        <f t="shared" si="18"/>
        <v>11134</v>
      </c>
      <c r="AI37" s="63">
        <f t="shared" si="18"/>
        <v>10856</v>
      </c>
      <c r="AJ37" s="63">
        <f t="shared" si="18"/>
        <v>10460</v>
      </c>
      <c r="AK37" s="90">
        <v>10460</v>
      </c>
      <c r="AL37" s="63">
        <f t="shared" ref="AL37:AN37" si="19">SUM(AL19:AL35)</f>
        <v>10025</v>
      </c>
      <c r="AM37" s="63">
        <f t="shared" si="19"/>
        <v>9340</v>
      </c>
      <c r="AN37" s="63">
        <f t="shared" si="19"/>
        <v>9044</v>
      </c>
      <c r="AO37" s="63">
        <f t="shared" si="13"/>
        <v>28409</v>
      </c>
      <c r="AP37" s="14"/>
    </row>
    <row r="38" spans="1:42" ht="15" thickTop="1" x14ac:dyDescent="0.3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4"/>
      <c r="U38" s="7"/>
      <c r="V38" s="54"/>
      <c r="Z38" s="7"/>
      <c r="AA38" s="54"/>
      <c r="AB38" s="7"/>
      <c r="AC38" s="7"/>
      <c r="AE38" s="7"/>
      <c r="AF38" s="54"/>
      <c r="AG38" s="7"/>
      <c r="AH38" s="7"/>
      <c r="AI38" s="7"/>
      <c r="AJ38" s="7"/>
      <c r="AK38" s="54"/>
      <c r="AL38" s="54"/>
      <c r="AM38" s="54"/>
      <c r="AN38" s="54"/>
      <c r="AO38" s="54"/>
    </row>
    <row r="39" spans="1:42" x14ac:dyDescent="0.35">
      <c r="A39" s="27"/>
      <c r="B39" s="28"/>
      <c r="C39" s="2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4"/>
      <c r="U39" s="7"/>
      <c r="V39" s="54"/>
      <c r="Z39" s="7"/>
      <c r="AA39" s="54"/>
      <c r="AB39" s="7"/>
      <c r="AC39" s="7"/>
      <c r="AE39" s="7"/>
      <c r="AF39" s="54"/>
      <c r="AG39" s="7"/>
      <c r="AH39" s="7"/>
      <c r="AI39" s="7"/>
      <c r="AJ39" s="7"/>
      <c r="AK39" s="54"/>
    </row>
    <row r="40" spans="1:42" x14ac:dyDescent="0.35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4"/>
      <c r="U40" s="7"/>
      <c r="V40" s="54"/>
      <c r="Z40" s="7"/>
      <c r="AA40" s="54"/>
      <c r="AB40" s="7"/>
      <c r="AC40" s="7"/>
      <c r="AE40" s="7"/>
      <c r="AF40" s="54"/>
      <c r="AG40" s="7"/>
      <c r="AH40" s="7"/>
      <c r="AI40" s="7"/>
      <c r="AJ40" s="7"/>
      <c r="AK40" s="54"/>
    </row>
    <row r="41" spans="1:42" x14ac:dyDescent="0.35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4"/>
      <c r="U41" s="7"/>
      <c r="V41" s="54"/>
      <c r="Z41" s="7"/>
      <c r="AA41" s="54"/>
      <c r="AB41" s="7"/>
      <c r="AC41" s="7"/>
      <c r="AE41" s="7"/>
      <c r="AF41" s="54"/>
      <c r="AG41" s="7"/>
      <c r="AH41" s="7"/>
      <c r="AI41" s="7"/>
      <c r="AJ41" s="7"/>
      <c r="AK41" s="54"/>
    </row>
    <row r="42" spans="1:42" x14ac:dyDescent="0.35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54"/>
      <c r="U42" s="7"/>
      <c r="V42" s="54"/>
      <c r="Z42" s="7"/>
      <c r="AA42" s="54"/>
      <c r="AB42" s="7"/>
      <c r="AC42" s="7"/>
      <c r="AE42" s="7"/>
      <c r="AF42" s="54"/>
      <c r="AG42" s="7"/>
      <c r="AH42" s="7"/>
      <c r="AI42" s="7"/>
      <c r="AJ42" s="7"/>
      <c r="AK42" s="54"/>
    </row>
    <row r="43" spans="1:42" x14ac:dyDescent="0.35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54"/>
      <c r="U43" s="7"/>
      <c r="V43" s="54"/>
      <c r="Z43" s="7"/>
      <c r="AA43" s="54"/>
      <c r="AB43" s="7"/>
      <c r="AC43" s="7"/>
      <c r="AE43" s="7"/>
      <c r="AF43" s="54"/>
      <c r="AG43" s="7"/>
      <c r="AH43" s="7"/>
      <c r="AI43" s="7"/>
      <c r="AJ43" s="7"/>
      <c r="AK43" s="54"/>
    </row>
    <row r="44" spans="1:42" x14ac:dyDescent="0.35">
      <c r="C44" s="29"/>
      <c r="D44" s="29"/>
      <c r="E44" s="29"/>
      <c r="F44" s="29"/>
      <c r="G44" s="29"/>
      <c r="H44" s="29"/>
      <c r="I44" s="29"/>
      <c r="J44" s="29"/>
    </row>
    <row r="45" spans="1:42" x14ac:dyDescent="0.35">
      <c r="D45" s="29"/>
      <c r="E45" s="29"/>
      <c r="F45" s="29"/>
      <c r="I45" s="29"/>
      <c r="J45" s="29"/>
    </row>
    <row r="46" spans="1:42" x14ac:dyDescent="0.35">
      <c r="D46" s="29"/>
      <c r="E46" s="29"/>
      <c r="F46" s="29"/>
      <c r="I46" s="29"/>
      <c r="J46" s="29"/>
    </row>
    <row r="47" spans="1:42" x14ac:dyDescent="0.35">
      <c r="D47" s="29"/>
      <c r="E47" s="29"/>
      <c r="F47" s="29"/>
      <c r="I47" s="29"/>
      <c r="J47" s="29"/>
    </row>
    <row r="51" spans="7:8" x14ac:dyDescent="0.35">
      <c r="G51" s="29"/>
      <c r="H51" s="29"/>
    </row>
  </sheetData>
  <mergeCells count="8">
    <mergeCell ref="AL4:AO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  <ignoredError sqref="AO38:AO4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7" ma:contentTypeDescription="Crie um novo documento." ma:contentTypeScope="" ma:versionID="d77f09be6ecb2c0625c1ab026482bf35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2d4818beae5035d60295c425ffb20efc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21DB97-F309-486D-8073-AE613CBCA120}">
  <ds:schemaRefs>
    <ds:schemaRef ds:uri="http://schemas.microsoft.com/office/2006/metadata/properties"/>
    <ds:schemaRef ds:uri="http://purl.org/dc/terms/"/>
    <ds:schemaRef ds:uri="c1c37b29-95d6-4702-86fd-61393a96f6d2"/>
    <ds:schemaRef ds:uri="http://schemas.microsoft.com/office/2006/documentManagement/types"/>
    <ds:schemaRef ds:uri="http://www.w3.org/XML/1998/namespace"/>
    <ds:schemaRef ds:uri="a9646d22-f281-4404-9eec-f6e4850eb1b0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fbf45429-705a-4c2b-a167-8ee3e9d3d369"/>
    <ds:schemaRef ds:uri="1ab80ee4-f6d9-4378-9bbc-3533b4648881"/>
  </ds:schemaRefs>
</ds:datastoreItem>
</file>

<file path=customXml/itemProps3.xml><?xml version="1.0" encoding="utf-8"?>
<ds:datastoreItem xmlns:ds="http://schemas.openxmlformats.org/officeDocument/2006/customXml" ds:itemID="{69E2D4EF-F5C3-45A2-92BB-FB019D9E5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f45429-705a-4c2b-a167-8ee3e9d3d369"/>
    <ds:schemaRef ds:uri="1ab80ee4-f6d9-4378-9bbc-3533b4648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Bruno Lopes Da Cunha</cp:lastModifiedBy>
  <dcterms:created xsi:type="dcterms:W3CDTF">2019-03-14T19:14:16Z</dcterms:created>
  <dcterms:modified xsi:type="dcterms:W3CDTF">2023-11-13T14:50:48Z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3344800</vt:r8>
  </property>
  <property fmtid="{D5CDD505-2E9C-101B-9397-08002B2CF9AE}" pid="4" name="MediaServiceImageTags">
    <vt:lpwstr/>
  </property>
</Properties>
</file>