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X:\CONSOLIDACOES\13. Informações Financeiras\02.Bases\05.Planilha Interativa\2019\2. 3Q19\"/>
    </mc:Choice>
  </mc:AlternateContent>
  <xr:revisionPtr revIDLastSave="0" documentId="13_ncr:1_{F2A54775-7A64-453E-8F99-7C3AE2612417}" xr6:coauthVersionLast="45" xr6:coauthVersionMax="45" xr10:uidLastSave="{00000000-0000-0000-0000-000000000000}"/>
  <bookViews>
    <workbookView xWindow="-120" yWindow="-120" windowWidth="20730" windowHeight="11310" activeTab="3" xr2:uid="{00000000-000D-0000-FFFF-FFFF00000000}"/>
  </bookViews>
  <sheets>
    <sheet name="CAPA" sheetId="1" r:id="rId1"/>
    <sheet name="BP" sheetId="2" r:id="rId2"/>
    <sheet name="DRE" sheetId="5" r:id="rId3"/>
    <sheet name="DFC" sheetId="8" r:id="rId4"/>
    <sheet name="EBITDA AJUSTADO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8" i="8" l="1"/>
  <c r="N83" i="8" l="1"/>
  <c r="O83" i="8" s="1"/>
  <c r="O19" i="8"/>
  <c r="O22" i="8" l="1"/>
  <c r="S14" i="5"/>
  <c r="S13" i="5"/>
  <c r="S9" i="5"/>
  <c r="T20" i="11" l="1"/>
  <c r="T34" i="11" s="1"/>
  <c r="O15" i="8"/>
  <c r="O11" i="8"/>
  <c r="O9" i="8"/>
  <c r="T77" i="8" l="1"/>
  <c r="T68" i="8"/>
  <c r="T37" i="8"/>
  <c r="T52" i="8" s="1"/>
  <c r="T56" i="8" s="1"/>
  <c r="T79" i="8" l="1"/>
  <c r="T86" i="8" s="1"/>
  <c r="T44" i="5"/>
  <c r="T35" i="5"/>
  <c r="T29" i="5"/>
  <c r="T23" i="5"/>
  <c r="T16" i="5"/>
  <c r="T10" i="5"/>
  <c r="T17" i="5" l="1"/>
  <c r="T30" i="5" s="1"/>
  <c r="T36" i="5" s="1"/>
  <c r="T40" i="5" s="1"/>
  <c r="Q85" i="2" l="1"/>
  <c r="Q89" i="2" s="1"/>
  <c r="Q77" i="2"/>
  <c r="Q61" i="2"/>
  <c r="Q63" i="2" s="1"/>
  <c r="Q78" i="2" s="1"/>
  <c r="Q34" i="2"/>
  <c r="Q41" i="2" s="1"/>
  <c r="Q18" i="2"/>
  <c r="Q20" i="2" s="1"/>
  <c r="Q91" i="2" l="1"/>
  <c r="Q43" i="2"/>
  <c r="S20" i="11" l="1"/>
  <c r="S34" i="11" s="1"/>
  <c r="S77" i="8" l="1"/>
  <c r="S68" i="8"/>
  <c r="S37" i="8"/>
  <c r="S52" i="8" s="1"/>
  <c r="S56" i="8" s="1"/>
  <c r="S44" i="5"/>
  <c r="S35" i="5"/>
  <c r="S29" i="5"/>
  <c r="S23" i="5"/>
  <c r="S16" i="5"/>
  <c r="S10" i="5"/>
  <c r="P85" i="2"/>
  <c r="P89" i="2" s="1"/>
  <c r="P77" i="2"/>
  <c r="P61" i="2"/>
  <c r="P63" i="2" s="1"/>
  <c r="P34" i="2"/>
  <c r="P41" i="2" s="1"/>
  <c r="P18" i="2"/>
  <c r="P20" i="2" s="1"/>
  <c r="S79" i="8" l="1"/>
  <c r="S86" i="8" s="1"/>
  <c r="S17" i="5"/>
  <c r="S30" i="5" s="1"/>
  <c r="S36" i="5" s="1"/>
  <c r="S40" i="5" s="1"/>
  <c r="P78" i="2"/>
  <c r="P91" i="2" s="1"/>
  <c r="P43" i="2"/>
  <c r="R20" i="11" l="1"/>
  <c r="J27" i="11" l="1"/>
  <c r="I27" i="11"/>
  <c r="H27" i="11"/>
  <c r="J24" i="11"/>
  <c r="I24" i="11"/>
  <c r="H24" i="11"/>
  <c r="E24" i="11"/>
  <c r="D24" i="11"/>
  <c r="C24" i="11"/>
  <c r="R34" i="11"/>
  <c r="Q20" i="11"/>
  <c r="Q34" i="11" s="1"/>
  <c r="O20" i="11"/>
  <c r="O34" i="11" s="1"/>
  <c r="N20" i="11"/>
  <c r="N34" i="11" s="1"/>
  <c r="L20" i="11"/>
  <c r="L34" i="11" s="1"/>
  <c r="K20" i="11"/>
  <c r="K34" i="11" s="1"/>
  <c r="G20" i="11"/>
  <c r="G34" i="11" s="1"/>
  <c r="F20" i="11"/>
  <c r="F34" i="11" s="1"/>
  <c r="J19" i="11"/>
  <c r="I19" i="11"/>
  <c r="H19" i="11"/>
  <c r="E19" i="11"/>
  <c r="D19" i="11"/>
  <c r="C19" i="11"/>
  <c r="J18" i="11"/>
  <c r="I18" i="11"/>
  <c r="H18" i="11"/>
  <c r="E18" i="11"/>
  <c r="D18" i="11"/>
  <c r="C18" i="11"/>
  <c r="J17" i="11"/>
  <c r="I17" i="11"/>
  <c r="H17" i="11"/>
  <c r="E17" i="11"/>
  <c r="D17" i="11"/>
  <c r="C17" i="11"/>
  <c r="I16" i="11"/>
  <c r="H16" i="11"/>
  <c r="E16" i="11"/>
  <c r="D16" i="11"/>
  <c r="C16" i="11"/>
  <c r="J14" i="11"/>
  <c r="I14" i="11"/>
  <c r="H14" i="11"/>
  <c r="E14" i="11"/>
  <c r="D14" i="11"/>
  <c r="C14" i="11"/>
  <c r="J13" i="11"/>
  <c r="I13" i="11"/>
  <c r="H13" i="11"/>
  <c r="E13" i="11"/>
  <c r="D13" i="11"/>
  <c r="C13" i="11"/>
  <c r="M12" i="11"/>
  <c r="M20" i="11" s="1"/>
  <c r="M34" i="11" s="1"/>
  <c r="J12" i="11"/>
  <c r="I12" i="11"/>
  <c r="H12" i="11"/>
  <c r="E12" i="11"/>
  <c r="D12" i="11"/>
  <c r="C12" i="11"/>
  <c r="I11" i="11"/>
  <c r="I20" i="11" s="1"/>
  <c r="I34" i="11" s="1"/>
  <c r="H11" i="11"/>
  <c r="E11" i="11"/>
  <c r="D11" i="11"/>
  <c r="C11" i="11"/>
  <c r="N84" i="8"/>
  <c r="I84" i="8"/>
  <c r="D84" i="8"/>
  <c r="Q83" i="8"/>
  <c r="P82" i="8"/>
  <c r="K82" i="8"/>
  <c r="P81" i="8"/>
  <c r="K81" i="8"/>
  <c r="D81" i="8"/>
  <c r="E81" i="8" s="1"/>
  <c r="F81" i="8" s="1"/>
  <c r="R77" i="8"/>
  <c r="M77" i="8"/>
  <c r="L77" i="8"/>
  <c r="H77" i="8"/>
  <c r="G77" i="8"/>
  <c r="C77" i="8"/>
  <c r="Q76" i="8"/>
  <c r="Q77" i="8" s="1"/>
  <c r="N76" i="8"/>
  <c r="O76" i="8" s="1"/>
  <c r="I76" i="8"/>
  <c r="D76" i="8"/>
  <c r="E76" i="8" s="1"/>
  <c r="N75" i="8"/>
  <c r="O75" i="8" s="1"/>
  <c r="P75" i="8" s="1"/>
  <c r="N74" i="8"/>
  <c r="I74" i="8"/>
  <c r="D74" i="8"/>
  <c r="E74" i="8" s="1"/>
  <c r="F74" i="8" s="1"/>
  <c r="N72" i="8"/>
  <c r="I72" i="8"/>
  <c r="D72" i="8"/>
  <c r="E72" i="8" s="1"/>
  <c r="N71" i="8"/>
  <c r="I71" i="8"/>
  <c r="J71" i="8" s="1"/>
  <c r="D71" i="8"/>
  <c r="R68" i="8"/>
  <c r="Q68" i="8"/>
  <c r="M68" i="8"/>
  <c r="L68" i="8"/>
  <c r="H68" i="8"/>
  <c r="C68" i="8"/>
  <c r="N67" i="8"/>
  <c r="O67" i="8" s="1"/>
  <c r="P67" i="8" s="1"/>
  <c r="I67" i="8"/>
  <c r="J67" i="8" s="1"/>
  <c r="K67" i="8" s="1"/>
  <c r="D67" i="8"/>
  <c r="E67" i="8" s="1"/>
  <c r="N66" i="8"/>
  <c r="I66" i="8"/>
  <c r="J66" i="8" s="1"/>
  <c r="K66" i="8" s="1"/>
  <c r="D66" i="8"/>
  <c r="E66" i="8" s="1"/>
  <c r="F66" i="8" s="1"/>
  <c r="N65" i="8"/>
  <c r="O65" i="8" s="1"/>
  <c r="I65" i="8"/>
  <c r="G65" i="8"/>
  <c r="D65" i="8"/>
  <c r="P64" i="8"/>
  <c r="N63" i="8"/>
  <c r="O63" i="8" s="1"/>
  <c r="I63" i="8"/>
  <c r="D63" i="8"/>
  <c r="N62" i="8"/>
  <c r="I62" i="8"/>
  <c r="J62" i="8" s="1"/>
  <c r="G62" i="8"/>
  <c r="G68" i="8" s="1"/>
  <c r="D62" i="8"/>
  <c r="E62" i="8" s="1"/>
  <c r="P61" i="8"/>
  <c r="K61" i="8"/>
  <c r="P60" i="8"/>
  <c r="K60" i="8"/>
  <c r="N59" i="8"/>
  <c r="O59" i="8" s="1"/>
  <c r="J59" i="8"/>
  <c r="I59" i="8"/>
  <c r="D59" i="8"/>
  <c r="N55" i="8"/>
  <c r="I55" i="8"/>
  <c r="D55" i="8"/>
  <c r="N54" i="8"/>
  <c r="I54" i="8"/>
  <c r="D54" i="8"/>
  <c r="N51" i="8"/>
  <c r="H51" i="8"/>
  <c r="I51" i="8" s="1"/>
  <c r="J51" i="8" s="1"/>
  <c r="C51" i="8"/>
  <c r="D51" i="8" s="1"/>
  <c r="E51" i="8" s="1"/>
  <c r="N50" i="8"/>
  <c r="O50" i="8" s="1"/>
  <c r="P50" i="8" s="1"/>
  <c r="I50" i="8"/>
  <c r="D50" i="8"/>
  <c r="N49" i="8"/>
  <c r="J49" i="8"/>
  <c r="I49" i="8"/>
  <c r="D49" i="8"/>
  <c r="N48" i="8"/>
  <c r="O48" i="8" s="1"/>
  <c r="I48" i="8"/>
  <c r="G48" i="8"/>
  <c r="D48" i="8"/>
  <c r="E48" i="8" s="1"/>
  <c r="N47" i="8"/>
  <c r="O47" i="8" s="1"/>
  <c r="I47" i="8"/>
  <c r="D47" i="8"/>
  <c r="E47" i="8" s="1"/>
  <c r="N45" i="8"/>
  <c r="O45" i="8" s="1"/>
  <c r="P45" i="8" s="1"/>
  <c r="I45" i="8"/>
  <c r="D45" i="8"/>
  <c r="N44" i="8"/>
  <c r="I44" i="8"/>
  <c r="J44" i="8" s="1"/>
  <c r="K44" i="8" s="1"/>
  <c r="D44" i="8"/>
  <c r="N43" i="8"/>
  <c r="I43" i="8"/>
  <c r="J43" i="8" s="1"/>
  <c r="D43" i="8"/>
  <c r="E43" i="8" s="1"/>
  <c r="F43" i="8" s="1"/>
  <c r="N42" i="8"/>
  <c r="I42" i="8"/>
  <c r="D42" i="8"/>
  <c r="E42" i="8" s="1"/>
  <c r="N41" i="8"/>
  <c r="I41" i="8"/>
  <c r="J41" i="8" s="1"/>
  <c r="D41" i="8"/>
  <c r="N40" i="8"/>
  <c r="O40" i="8" s="1"/>
  <c r="I40" i="8"/>
  <c r="D40" i="8"/>
  <c r="N39" i="8"/>
  <c r="I39" i="8"/>
  <c r="J39" i="8" s="1"/>
  <c r="D39" i="8"/>
  <c r="R37" i="8"/>
  <c r="R52" i="8" s="1"/>
  <c r="R56" i="8" s="1"/>
  <c r="M37" i="8"/>
  <c r="M52" i="8" s="1"/>
  <c r="M56" i="8" s="1"/>
  <c r="H37" i="8"/>
  <c r="H52" i="8" s="1"/>
  <c r="H56" i="8" s="1"/>
  <c r="C37" i="8"/>
  <c r="C52" i="8" s="1"/>
  <c r="C56" i="8" s="1"/>
  <c r="N36" i="8"/>
  <c r="I36" i="8"/>
  <c r="J36" i="8" s="1"/>
  <c r="K36" i="8" s="1"/>
  <c r="D36" i="8"/>
  <c r="P35" i="8"/>
  <c r="P33" i="8"/>
  <c r="N32" i="8"/>
  <c r="N31" i="8"/>
  <c r="N30" i="8"/>
  <c r="I30" i="8"/>
  <c r="J30" i="8" s="1"/>
  <c r="K30" i="8" s="1"/>
  <c r="D30" i="8"/>
  <c r="E30" i="8" s="1"/>
  <c r="F30" i="8" s="1"/>
  <c r="N29" i="8"/>
  <c r="I29" i="8"/>
  <c r="D29" i="8"/>
  <c r="E29" i="8" s="1"/>
  <c r="F29" i="8" s="1"/>
  <c r="N28" i="8"/>
  <c r="P28" i="8" s="1"/>
  <c r="I28" i="8"/>
  <c r="D28" i="8"/>
  <c r="P27" i="8"/>
  <c r="K27" i="8"/>
  <c r="F27" i="8"/>
  <c r="N26" i="8"/>
  <c r="O26" i="8" s="1"/>
  <c r="I26" i="8"/>
  <c r="D26" i="8"/>
  <c r="P25" i="8"/>
  <c r="I25" i="8"/>
  <c r="E25" i="8"/>
  <c r="F25" i="8" s="1"/>
  <c r="O24" i="8"/>
  <c r="P24" i="8" s="1"/>
  <c r="J24" i="8"/>
  <c r="K24" i="8" s="1"/>
  <c r="O23" i="8"/>
  <c r="P23" i="8" s="1"/>
  <c r="I23" i="8"/>
  <c r="J23" i="8" s="1"/>
  <c r="D23" i="8"/>
  <c r="P22" i="8"/>
  <c r="I22" i="8"/>
  <c r="J22" i="8" s="1"/>
  <c r="K22" i="8" s="1"/>
  <c r="D22" i="8"/>
  <c r="N21" i="8"/>
  <c r="O21" i="8" s="1"/>
  <c r="I21" i="8"/>
  <c r="J21" i="8" s="1"/>
  <c r="G21" i="8"/>
  <c r="G37" i="8" s="1"/>
  <c r="G52" i="8" s="1"/>
  <c r="G56" i="8" s="1"/>
  <c r="G79" i="8" s="1"/>
  <c r="G86" i="8" s="1"/>
  <c r="D21" i="8"/>
  <c r="E21" i="8" s="1"/>
  <c r="P20" i="8"/>
  <c r="J20" i="8"/>
  <c r="K20" i="8" s="1"/>
  <c r="I19" i="8"/>
  <c r="D19" i="8"/>
  <c r="E19" i="8" s="1"/>
  <c r="F19" i="8" s="1"/>
  <c r="P18" i="8"/>
  <c r="I18" i="8"/>
  <c r="E18" i="8"/>
  <c r="F18" i="8" s="1"/>
  <c r="P17" i="8"/>
  <c r="I16" i="8"/>
  <c r="J16" i="8" s="1"/>
  <c r="D16" i="8"/>
  <c r="E16" i="8" s="1"/>
  <c r="F16" i="8" s="1"/>
  <c r="I15" i="8"/>
  <c r="D15" i="8"/>
  <c r="E15" i="8" s="1"/>
  <c r="P14" i="8"/>
  <c r="L14" i="8"/>
  <c r="F14" i="8"/>
  <c r="I11" i="8"/>
  <c r="J11" i="8" s="1"/>
  <c r="D11" i="8"/>
  <c r="E11" i="8" s="1"/>
  <c r="Q9" i="8"/>
  <c r="I9" i="8"/>
  <c r="D9" i="8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N44" i="5"/>
  <c r="I42" i="5"/>
  <c r="J42" i="5" s="1"/>
  <c r="E42" i="5"/>
  <c r="F42" i="5" s="1"/>
  <c r="D42" i="5"/>
  <c r="P39" i="5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P34" i="5"/>
  <c r="I34" i="5"/>
  <c r="J34" i="5" s="1"/>
  <c r="K34" i="5" s="1"/>
  <c r="D34" i="5"/>
  <c r="E34" i="5" s="1"/>
  <c r="F34" i="5" s="1"/>
  <c r="I33" i="5"/>
  <c r="E33" i="5"/>
  <c r="D33" i="5"/>
  <c r="D35" i="5" s="1"/>
  <c r="R29" i="5"/>
  <c r="Q29" i="5"/>
  <c r="M29" i="5"/>
  <c r="L29" i="5"/>
  <c r="H29" i="5"/>
  <c r="G29" i="5"/>
  <c r="C29" i="5"/>
  <c r="N28" i="5"/>
  <c r="P28" i="5" s="1"/>
  <c r="I28" i="5"/>
  <c r="J28" i="5" s="1"/>
  <c r="K28" i="5" s="1"/>
  <c r="D28" i="5"/>
  <c r="E28" i="5" s="1"/>
  <c r="F28" i="5" s="1"/>
  <c r="P27" i="5"/>
  <c r="I27" i="5"/>
  <c r="J27" i="5" s="1"/>
  <c r="K27" i="5" s="1"/>
  <c r="E27" i="5"/>
  <c r="F27" i="5" s="1"/>
  <c r="D27" i="5"/>
  <c r="P26" i="5"/>
  <c r="I26" i="5"/>
  <c r="J26" i="5" s="1"/>
  <c r="K26" i="5" s="1"/>
  <c r="D26" i="5"/>
  <c r="E26" i="5" s="1"/>
  <c r="F26" i="5" s="1"/>
  <c r="O29" i="5"/>
  <c r="I25" i="5"/>
  <c r="J25" i="5" s="1"/>
  <c r="D25" i="5"/>
  <c r="E25" i="5" s="1"/>
  <c r="E29" i="5" s="1"/>
  <c r="R23" i="5"/>
  <c r="Q23" i="5"/>
  <c r="M23" i="5"/>
  <c r="L23" i="5"/>
  <c r="H23" i="5"/>
  <c r="G23" i="5"/>
  <c r="C23" i="5"/>
  <c r="N22" i="5"/>
  <c r="J22" i="5"/>
  <c r="K22" i="5" s="1"/>
  <c r="I22" i="5"/>
  <c r="D22" i="5"/>
  <c r="F22" i="5" s="1"/>
  <c r="P21" i="5"/>
  <c r="K21" i="5"/>
  <c r="F21" i="5"/>
  <c r="O20" i="5"/>
  <c r="I20" i="5"/>
  <c r="J20" i="5" s="1"/>
  <c r="D20" i="5"/>
  <c r="R16" i="5"/>
  <c r="Q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I13" i="5"/>
  <c r="D13" i="5"/>
  <c r="R10" i="5"/>
  <c r="Q10" i="5"/>
  <c r="Q17" i="5" s="1"/>
  <c r="M10" i="5"/>
  <c r="M17" i="5" s="1"/>
  <c r="L10" i="5"/>
  <c r="H10" i="5"/>
  <c r="G10" i="5"/>
  <c r="G17" i="5" s="1"/>
  <c r="C10" i="5"/>
  <c r="P9" i="5"/>
  <c r="I9" i="5"/>
  <c r="J9" i="5" s="1"/>
  <c r="K9" i="5" s="1"/>
  <c r="D9" i="5"/>
  <c r="E9" i="5" s="1"/>
  <c r="F9" i="5" s="1"/>
  <c r="N10" i="5"/>
  <c r="I8" i="5"/>
  <c r="J8" i="5" s="1"/>
  <c r="J10" i="5" s="1"/>
  <c r="D8" i="5"/>
  <c r="E8" i="5" s="1"/>
  <c r="O85" i="2"/>
  <c r="O89" i="2" s="1"/>
  <c r="N85" i="2"/>
  <c r="N89" i="2" s="1"/>
  <c r="M85" i="2"/>
  <c r="M89" i="2" s="1"/>
  <c r="L85" i="2"/>
  <c r="L89" i="2" s="1"/>
  <c r="K85" i="2"/>
  <c r="K89" i="2" s="1"/>
  <c r="J85" i="2"/>
  <c r="J89" i="2" s="1"/>
  <c r="I85" i="2"/>
  <c r="I89" i="2" s="1"/>
  <c r="H85" i="2"/>
  <c r="H89" i="2" s="1"/>
  <c r="G85" i="2"/>
  <c r="G89" i="2" s="1"/>
  <c r="F85" i="2"/>
  <c r="F89" i="2" s="1"/>
  <c r="E85" i="2"/>
  <c r="E89" i="2" s="1"/>
  <c r="D85" i="2"/>
  <c r="D89" i="2" s="1"/>
  <c r="C85" i="2"/>
  <c r="C89" i="2" s="1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O61" i="2"/>
  <c r="O63" i="2" s="1"/>
  <c r="O78" i="2" s="1"/>
  <c r="N61" i="2"/>
  <c r="N63" i="2" s="1"/>
  <c r="M61" i="2"/>
  <c r="M63" i="2" s="1"/>
  <c r="L61" i="2"/>
  <c r="L63" i="2" s="1"/>
  <c r="L78" i="2" s="1"/>
  <c r="K61" i="2"/>
  <c r="K63" i="2" s="1"/>
  <c r="K78" i="2" s="1"/>
  <c r="J61" i="2"/>
  <c r="J63" i="2" s="1"/>
  <c r="I61" i="2"/>
  <c r="I63" i="2" s="1"/>
  <c r="H61" i="2"/>
  <c r="H63" i="2" s="1"/>
  <c r="H78" i="2" s="1"/>
  <c r="G61" i="2"/>
  <c r="G63" i="2" s="1"/>
  <c r="G78" i="2" s="1"/>
  <c r="F61" i="2"/>
  <c r="F63" i="2" s="1"/>
  <c r="E61" i="2"/>
  <c r="E63" i="2" s="1"/>
  <c r="D61" i="2"/>
  <c r="D63" i="2" s="1"/>
  <c r="D78" i="2" s="1"/>
  <c r="C61" i="2"/>
  <c r="C63" i="2" s="1"/>
  <c r="C78" i="2" s="1"/>
  <c r="O34" i="2"/>
  <c r="O41" i="2" s="1"/>
  <c r="N34" i="2"/>
  <c r="N41" i="2" s="1"/>
  <c r="M34" i="2"/>
  <c r="M41" i="2" s="1"/>
  <c r="L34" i="2"/>
  <c r="L41" i="2" s="1"/>
  <c r="K34" i="2"/>
  <c r="K41" i="2" s="1"/>
  <c r="J34" i="2"/>
  <c r="J41" i="2" s="1"/>
  <c r="I34" i="2"/>
  <c r="I41" i="2" s="1"/>
  <c r="H34" i="2"/>
  <c r="H41" i="2" s="1"/>
  <c r="G34" i="2"/>
  <c r="G41" i="2" s="1"/>
  <c r="F34" i="2"/>
  <c r="F41" i="2" s="1"/>
  <c r="E34" i="2"/>
  <c r="E41" i="2" s="1"/>
  <c r="D34" i="2"/>
  <c r="D41" i="2" s="1"/>
  <c r="C34" i="2"/>
  <c r="C41" i="2" s="1"/>
  <c r="O18" i="2"/>
  <c r="O20" i="2" s="1"/>
  <c r="N18" i="2"/>
  <c r="N20" i="2" s="1"/>
  <c r="N43" i="2" s="1"/>
  <c r="M18" i="2"/>
  <c r="M20" i="2" s="1"/>
  <c r="M43" i="2" s="1"/>
  <c r="L18" i="2"/>
  <c r="L20" i="2" s="1"/>
  <c r="K18" i="2"/>
  <c r="K20" i="2" s="1"/>
  <c r="J18" i="2"/>
  <c r="J20" i="2" s="1"/>
  <c r="I18" i="2"/>
  <c r="I20" i="2" s="1"/>
  <c r="I43" i="2" s="1"/>
  <c r="H18" i="2"/>
  <c r="H20" i="2" s="1"/>
  <c r="G18" i="2"/>
  <c r="G20" i="2" s="1"/>
  <c r="F18" i="2"/>
  <c r="F20" i="2" s="1"/>
  <c r="E18" i="2"/>
  <c r="E20" i="2" s="1"/>
  <c r="E43" i="2" s="1"/>
  <c r="D18" i="2"/>
  <c r="D20" i="2" s="1"/>
  <c r="C18" i="2"/>
  <c r="C20" i="2" s="1"/>
  <c r="O55" i="8" l="1"/>
  <c r="P55" i="8" s="1"/>
  <c r="C43" i="2"/>
  <c r="G43" i="2"/>
  <c r="K43" i="2"/>
  <c r="O43" i="2"/>
  <c r="E78" i="2"/>
  <c r="I78" i="2"/>
  <c r="I91" i="2" s="1"/>
  <c r="M78" i="2"/>
  <c r="D23" i="5"/>
  <c r="F48" i="8"/>
  <c r="O32" i="8"/>
  <c r="P32" i="8" s="1"/>
  <c r="F78" i="2"/>
  <c r="J78" i="2"/>
  <c r="N78" i="2"/>
  <c r="M30" i="5"/>
  <c r="I16" i="5"/>
  <c r="J18" i="8"/>
  <c r="K18" i="8"/>
  <c r="O35" i="5"/>
  <c r="P33" i="5"/>
  <c r="P35" i="5" s="1"/>
  <c r="J44" i="5"/>
  <c r="K42" i="5"/>
  <c r="K44" i="5" s="1"/>
  <c r="N35" i="5"/>
  <c r="Q30" i="5"/>
  <c r="Q36" i="5" s="1"/>
  <c r="Q40" i="5" s="1"/>
  <c r="D44" i="5"/>
  <c r="R17" i="5"/>
  <c r="R30" i="5" s="1"/>
  <c r="R36" i="5" s="1"/>
  <c r="R40" i="5" s="1"/>
  <c r="C20" i="11"/>
  <c r="C34" i="11" s="1"/>
  <c r="D16" i="5"/>
  <c r="L17" i="5"/>
  <c r="L30" i="5" s="1"/>
  <c r="L36" i="5" s="1"/>
  <c r="L40" i="5" s="1"/>
  <c r="N23" i="5"/>
  <c r="C79" i="8"/>
  <c r="C86" i="8" s="1"/>
  <c r="L43" i="2"/>
  <c r="I35" i="5"/>
  <c r="E44" i="5"/>
  <c r="H20" i="11"/>
  <c r="H34" i="11" s="1"/>
  <c r="H43" i="2"/>
  <c r="C17" i="5"/>
  <c r="C30" i="5" s="1"/>
  <c r="C36" i="5" s="1"/>
  <c r="C40" i="5" s="1"/>
  <c r="H79" i="8"/>
  <c r="H86" i="8" s="1"/>
  <c r="E20" i="11"/>
  <c r="E34" i="11" s="1"/>
  <c r="J20" i="11"/>
  <c r="J34" i="11" s="1"/>
  <c r="D43" i="2"/>
  <c r="M36" i="5"/>
  <c r="M40" i="5" s="1"/>
  <c r="E20" i="5"/>
  <c r="E23" i="5" s="1"/>
  <c r="J33" i="5"/>
  <c r="K33" i="5" s="1"/>
  <c r="K35" i="5" s="1"/>
  <c r="H17" i="5"/>
  <c r="H30" i="5" s="1"/>
  <c r="H36" i="5" s="1"/>
  <c r="H40" i="5" s="1"/>
  <c r="G30" i="5"/>
  <c r="G36" i="5" s="1"/>
  <c r="G40" i="5" s="1"/>
  <c r="J13" i="5"/>
  <c r="J16" i="5" s="1"/>
  <c r="J17" i="5" s="1"/>
  <c r="P83" i="8"/>
  <c r="D20" i="11"/>
  <c r="D34" i="11" s="1"/>
  <c r="N77" i="8"/>
  <c r="E9" i="8"/>
  <c r="F9" i="8" s="1"/>
  <c r="K16" i="8"/>
  <c r="I37" i="8"/>
  <c r="I52" i="8" s="1"/>
  <c r="I56" i="8" s="1"/>
  <c r="E40" i="8"/>
  <c r="F40" i="8" s="1"/>
  <c r="E63" i="8"/>
  <c r="F63" i="8" s="1"/>
  <c r="J84" i="8"/>
  <c r="K84" i="8" s="1"/>
  <c r="D37" i="8"/>
  <c r="D52" i="8" s="1"/>
  <c r="D56" i="8" s="1"/>
  <c r="N37" i="8"/>
  <c r="N52" i="8" s="1"/>
  <c r="N56" i="8" s="1"/>
  <c r="F15" i="8"/>
  <c r="J19" i="8"/>
  <c r="K19" i="8" s="1"/>
  <c r="P21" i="8"/>
  <c r="O36" i="8"/>
  <c r="P36" i="8" s="1"/>
  <c r="K41" i="8"/>
  <c r="O44" i="8"/>
  <c r="P44" i="8" s="1"/>
  <c r="P47" i="8"/>
  <c r="K49" i="8"/>
  <c r="E50" i="8"/>
  <c r="F50" i="8" s="1"/>
  <c r="E54" i="8"/>
  <c r="F54" i="8" s="1"/>
  <c r="E55" i="8"/>
  <c r="F55" i="8" s="1"/>
  <c r="D68" i="8"/>
  <c r="F72" i="8"/>
  <c r="O72" i="8"/>
  <c r="P72" i="8" s="1"/>
  <c r="P11" i="8"/>
  <c r="K23" i="8"/>
  <c r="J25" i="8"/>
  <c r="K25" i="8" s="1"/>
  <c r="P26" i="8"/>
  <c r="K39" i="8"/>
  <c r="F42" i="8"/>
  <c r="O42" i="8"/>
  <c r="P42" i="8" s="1"/>
  <c r="J45" i="8"/>
  <c r="K45" i="8" s="1"/>
  <c r="O54" i="8"/>
  <c r="P54" i="8" s="1"/>
  <c r="K62" i="8"/>
  <c r="P65" i="8"/>
  <c r="J74" i="8"/>
  <c r="K74" i="8" s="1"/>
  <c r="F21" i="8"/>
  <c r="R79" i="8"/>
  <c r="R86" i="8" s="1"/>
  <c r="P40" i="8"/>
  <c r="K43" i="8"/>
  <c r="E44" i="8"/>
  <c r="F44" i="8" s="1"/>
  <c r="F47" i="8"/>
  <c r="P48" i="8"/>
  <c r="I68" i="8"/>
  <c r="P63" i="8"/>
  <c r="F67" i="8"/>
  <c r="I77" i="8"/>
  <c r="F76" i="8"/>
  <c r="M79" i="8"/>
  <c r="M86" i="8" s="1"/>
  <c r="J9" i="8"/>
  <c r="K9" i="8" s="1"/>
  <c r="Q37" i="8"/>
  <c r="Q52" i="8" s="1"/>
  <c r="Q56" i="8" s="1"/>
  <c r="Q79" i="8" s="1"/>
  <c r="Q86" i="8" s="1"/>
  <c r="P9" i="8"/>
  <c r="L37" i="8"/>
  <c r="L52" i="8" s="1"/>
  <c r="L56" i="8" s="1"/>
  <c r="L79" i="8" s="1"/>
  <c r="L86" i="8" s="1"/>
  <c r="K14" i="8"/>
  <c r="K11" i="8"/>
  <c r="F11" i="8"/>
  <c r="P15" i="8"/>
  <c r="K21" i="8"/>
  <c r="O39" i="8"/>
  <c r="P39" i="8" s="1"/>
  <c r="E41" i="8"/>
  <c r="F41" i="8" s="1"/>
  <c r="J42" i="8"/>
  <c r="K42" i="8" s="1"/>
  <c r="O43" i="8"/>
  <c r="P43" i="8" s="1"/>
  <c r="E45" i="8"/>
  <c r="F45" i="8" s="1"/>
  <c r="J47" i="8"/>
  <c r="K47" i="8" s="1"/>
  <c r="E49" i="8"/>
  <c r="F49" i="8" s="1"/>
  <c r="J50" i="8"/>
  <c r="K50" i="8" s="1"/>
  <c r="F51" i="8"/>
  <c r="K51" i="8"/>
  <c r="J54" i="8"/>
  <c r="K54" i="8" s="1"/>
  <c r="J55" i="8"/>
  <c r="K55" i="8" s="1"/>
  <c r="P59" i="8"/>
  <c r="F62" i="8"/>
  <c r="J63" i="8"/>
  <c r="K63" i="8" s="1"/>
  <c r="N68" i="8"/>
  <c r="O71" i="8"/>
  <c r="E84" i="8"/>
  <c r="F84" i="8" s="1"/>
  <c r="J15" i="8"/>
  <c r="K15" i="8" s="1"/>
  <c r="O16" i="8"/>
  <c r="P19" i="8"/>
  <c r="E22" i="8"/>
  <c r="F22" i="8" s="1"/>
  <c r="E23" i="8"/>
  <c r="F23" i="8" s="1"/>
  <c r="J26" i="8"/>
  <c r="K26" i="8" s="1"/>
  <c r="J28" i="8"/>
  <c r="K28" i="8" s="1"/>
  <c r="O29" i="8"/>
  <c r="P29" i="8" s="1"/>
  <c r="O31" i="8"/>
  <c r="P31" i="8" s="1"/>
  <c r="E36" i="8"/>
  <c r="F36" i="8" s="1"/>
  <c r="D77" i="8"/>
  <c r="E26" i="8"/>
  <c r="F26" i="8" s="1"/>
  <c r="E28" i="8"/>
  <c r="F28" i="8" s="1"/>
  <c r="J29" i="8"/>
  <c r="K29" i="8" s="1"/>
  <c r="O30" i="8"/>
  <c r="P30" i="8" s="1"/>
  <c r="E39" i="8"/>
  <c r="F39" i="8" s="1"/>
  <c r="J40" i="8"/>
  <c r="K40" i="8" s="1"/>
  <c r="O41" i="8"/>
  <c r="P41" i="8" s="1"/>
  <c r="J48" i="8"/>
  <c r="K48" i="8" s="1"/>
  <c r="O49" i="8"/>
  <c r="P49" i="8" s="1"/>
  <c r="O51" i="8"/>
  <c r="P51" i="8" s="1"/>
  <c r="E59" i="8"/>
  <c r="K59" i="8"/>
  <c r="O62" i="8"/>
  <c r="P62" i="8" s="1"/>
  <c r="E65" i="8"/>
  <c r="F65" i="8" s="1"/>
  <c r="J65" i="8"/>
  <c r="K65" i="8" s="1"/>
  <c r="O66" i="8"/>
  <c r="P66" i="8" s="1"/>
  <c r="E71" i="8"/>
  <c r="E77" i="8" s="1"/>
  <c r="K71" i="8"/>
  <c r="J72" i="8"/>
  <c r="O74" i="8"/>
  <c r="P74" i="8" s="1"/>
  <c r="J76" i="8"/>
  <c r="K76" i="8" s="1"/>
  <c r="P76" i="8"/>
  <c r="O84" i="8"/>
  <c r="P84" i="8" s="1"/>
  <c r="J23" i="5"/>
  <c r="K20" i="5"/>
  <c r="K23" i="5" s="1"/>
  <c r="O16" i="5"/>
  <c r="P13" i="5"/>
  <c r="P16" i="5" s="1"/>
  <c r="J29" i="5"/>
  <c r="K25" i="5"/>
  <c r="K29" i="5" s="1"/>
  <c r="E35" i="5"/>
  <c r="F8" i="5"/>
  <c r="F10" i="5" s="1"/>
  <c r="E10" i="5"/>
  <c r="F44" i="5"/>
  <c r="D29" i="5"/>
  <c r="J35" i="5"/>
  <c r="D10" i="5"/>
  <c r="D17" i="5" s="1"/>
  <c r="E13" i="5"/>
  <c r="F20" i="5"/>
  <c r="F23" i="5" s="1"/>
  <c r="O22" i="5"/>
  <c r="P22" i="5" s="1"/>
  <c r="I23" i="5"/>
  <c r="F25" i="5"/>
  <c r="F29" i="5" s="1"/>
  <c r="I29" i="5"/>
  <c r="F33" i="5"/>
  <c r="F35" i="5" s="1"/>
  <c r="O42" i="5"/>
  <c r="I10" i="5"/>
  <c r="I17" i="5" s="1"/>
  <c r="N16" i="5"/>
  <c r="N17" i="5" s="1"/>
  <c r="N29" i="5"/>
  <c r="I44" i="5"/>
  <c r="K8" i="5"/>
  <c r="K10" i="5" s="1"/>
  <c r="P20" i="5"/>
  <c r="P23" i="5" s="1"/>
  <c r="P25" i="5"/>
  <c r="P29" i="5" s="1"/>
  <c r="F91" i="2"/>
  <c r="J91" i="2"/>
  <c r="N91" i="2"/>
  <c r="M91" i="2"/>
  <c r="F43" i="2"/>
  <c r="C91" i="2"/>
  <c r="G91" i="2"/>
  <c r="K91" i="2"/>
  <c r="O91" i="2"/>
  <c r="J43" i="2"/>
  <c r="D91" i="2"/>
  <c r="H91" i="2"/>
  <c r="L91" i="2"/>
  <c r="E91" i="2"/>
  <c r="N79" i="8" l="1"/>
  <c r="N86" i="8" s="1"/>
  <c r="N30" i="5"/>
  <c r="N36" i="5" s="1"/>
  <c r="N40" i="5" s="1"/>
  <c r="O23" i="5"/>
  <c r="K13" i="5"/>
  <c r="K16" i="5" s="1"/>
  <c r="K17" i="5" s="1"/>
  <c r="K30" i="5" s="1"/>
  <c r="K36" i="5" s="1"/>
  <c r="K40" i="5" s="1"/>
  <c r="J30" i="5"/>
  <c r="J36" i="5" s="1"/>
  <c r="J40" i="5" s="1"/>
  <c r="I79" i="8"/>
  <c r="I86" i="8" s="1"/>
  <c r="J77" i="8"/>
  <c r="O37" i="8"/>
  <c r="O52" i="8" s="1"/>
  <c r="O56" i="8" s="1"/>
  <c r="D79" i="8"/>
  <c r="D86" i="8" s="1"/>
  <c r="P68" i="8"/>
  <c r="F37" i="8"/>
  <c r="F52" i="8" s="1"/>
  <c r="F56" i="8" s="1"/>
  <c r="P16" i="8"/>
  <c r="P37" i="8" s="1"/>
  <c r="P52" i="8" s="1"/>
  <c r="P56" i="8" s="1"/>
  <c r="E68" i="8"/>
  <c r="F59" i="8"/>
  <c r="F68" i="8" s="1"/>
  <c r="E37" i="8"/>
  <c r="E52" i="8" s="1"/>
  <c r="E56" i="8" s="1"/>
  <c r="J68" i="8"/>
  <c r="K72" i="8"/>
  <c r="K77" i="8" s="1"/>
  <c r="K37" i="8"/>
  <c r="K52" i="8" s="1"/>
  <c r="K56" i="8" s="1"/>
  <c r="J37" i="8"/>
  <c r="J52" i="8" s="1"/>
  <c r="J56" i="8" s="1"/>
  <c r="K68" i="8"/>
  <c r="P71" i="8"/>
  <c r="P77" i="8" s="1"/>
  <c r="O77" i="8"/>
  <c r="O68" i="8"/>
  <c r="F71" i="8"/>
  <c r="F77" i="8" s="1"/>
  <c r="I30" i="5"/>
  <c r="I36" i="5" s="1"/>
  <c r="I40" i="5" s="1"/>
  <c r="P8" i="5"/>
  <c r="P10" i="5" s="1"/>
  <c r="P17" i="5" s="1"/>
  <c r="P30" i="5" s="1"/>
  <c r="P36" i="5" s="1"/>
  <c r="P40" i="5" s="1"/>
  <c r="O10" i="5"/>
  <c r="O17" i="5" s="1"/>
  <c r="O30" i="5" s="1"/>
  <c r="O36" i="5" s="1"/>
  <c r="O40" i="5" s="1"/>
  <c r="P42" i="5"/>
  <c r="P44" i="5" s="1"/>
  <c r="O44" i="5"/>
  <c r="F13" i="5"/>
  <c r="F16" i="5" s="1"/>
  <c r="F17" i="5" s="1"/>
  <c r="F30" i="5" s="1"/>
  <c r="F36" i="5" s="1"/>
  <c r="F40" i="5" s="1"/>
  <c r="E16" i="5"/>
  <c r="E17" i="5" s="1"/>
  <c r="E30" i="5" s="1"/>
  <c r="E36" i="5" s="1"/>
  <c r="E40" i="5" s="1"/>
  <c r="D30" i="5"/>
  <c r="D36" i="5" s="1"/>
  <c r="D40" i="5" s="1"/>
  <c r="J79" i="8" l="1"/>
  <c r="J86" i="8" s="1"/>
  <c r="O79" i="8"/>
  <c r="O86" i="8" s="1"/>
  <c r="K79" i="8"/>
  <c r="K86" i="8" s="1"/>
  <c r="E79" i="8"/>
  <c r="E86" i="8" s="1"/>
  <c r="P79" i="8"/>
  <c r="P86" i="8" s="1"/>
  <c r="F79" i="8"/>
  <c r="F86" i="8" s="1"/>
</calcChain>
</file>

<file path=xl/sharedStrings.xml><?xml version="1.0" encoding="utf-8"?>
<sst xmlns="http://schemas.openxmlformats.org/spreadsheetml/2006/main" count="273" uniqueCount="194">
  <si>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</si>
  <si>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</si>
  <si>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</si>
  <si>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</si>
  <si>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</si>
  <si>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</si>
  <si>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</si>
  <si>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</si>
  <si>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Dividendos a receber</t>
  </si>
  <si>
    <t>Instrumentos financeiros - compromisso firme</t>
  </si>
  <si>
    <t>Outros ativos</t>
  </si>
  <si>
    <t>Ativos classificados como mantidos para venda</t>
  </si>
  <si>
    <t>Não circulante</t>
  </si>
  <si>
    <t>Realizável a longo prazo</t>
  </si>
  <si>
    <t>Partes relacionadas</t>
  </si>
  <si>
    <t>Imposto de renda e contribuição social diferidos</t>
  </si>
  <si>
    <t>Depósitos judiciais</t>
  </si>
  <si>
    <t>Investimentos</t>
  </si>
  <si>
    <t>Imobilizado</t>
  </si>
  <si>
    <t>Intangível</t>
  </si>
  <si>
    <t>Ativos Biológicos</t>
  </si>
  <si>
    <t>Total do ativo</t>
  </si>
  <si>
    <t>Passivo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</si>
  <si>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</si>
  <si>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</si>
  <si>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</si>
  <si>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</si>
  <si>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</si>
  <si>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</si>
  <si>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</si>
  <si>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Uso do bem público - UBP</t>
  </si>
  <si>
    <t>Receita diferida - obrigação por performance</t>
  </si>
  <si>
    <t>Receita diferida - streaming  de prata</t>
  </si>
  <si>
    <t>Outros passivos</t>
  </si>
  <si>
    <t>Passivos relacionados a ativos mantidos para venda</t>
  </si>
  <si>
    <t>Provisões</t>
  </si>
  <si>
    <t>Plano de pensão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</si>
  <si>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</si>
  <si>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</si>
  <si>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</si>
  <si>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</si>
  <si>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</si>
  <si>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</si>
  <si>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</si>
  <si>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Total do passivo e do patrimônio líquido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</si>
  <si>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</si>
  <si>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</si>
  <si>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</si>
  <si>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</si>
  <si>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</si>
  <si>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</si>
  <si>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</si>
  <si>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</si>
  <si>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</si>
  <si>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</si>
  <si>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4T18</t>
  </si>
  <si>
    <t>2018</t>
  </si>
  <si>
    <t>Operações continuadas</t>
  </si>
  <si>
    <t>Receita líquida dos produtos vendidos e dos serviços prestados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</si>
  <si>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</si>
  <si>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</si>
  <si>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</si>
  <si>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</si>
  <si>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</si>
  <si>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Outras receitas (despeas) oepracionais, líquidas</t>
  </si>
  <si>
    <t>Lucro operacional antes das participações societárias e do resultado financeiro</t>
  </si>
  <si>
    <t>Resultado de participações societárias</t>
  </si>
  <si>
    <t>Equivalência patrimonial</t>
  </si>
  <si>
    <t>Dividendos recebidos</t>
  </si>
  <si>
    <t>Realização de outros resultados abrangentes na alienação de investimentos</t>
  </si>
  <si>
    <t>Resultado financeiro</t>
  </si>
  <si>
    <t>Receitas financeiras</t>
  </si>
  <si>
    <t>Despesas financeiras</t>
  </si>
  <si>
    <t>Resultado dos instrumentos financeiros derivativos</t>
  </si>
  <si>
    <t>Variações cambiais, líquidas</t>
  </si>
  <si>
    <t>Lucro antes do imposto de renda e da contribuição social</t>
  </si>
  <si>
    <t>Imposto de renda e contribuição social</t>
  </si>
  <si>
    <t>Correntes</t>
  </si>
  <si>
    <t>Diferidos</t>
  </si>
  <si>
    <t>Lucro das operações continuadas</t>
  </si>
  <si>
    <t>Operações descontinuadas</t>
  </si>
  <si>
    <t>Lucro (prejuízo) das operações descontinuadas</t>
  </si>
  <si>
    <t>Lucro (prejuízo) do período</t>
  </si>
  <si>
    <t>Lucro (prejuízo) líquido atribuível aos acionistas não controladores</t>
  </si>
  <si>
    <t>Lucro (prejuízo) líquido atribuível aos acionistas controladores</t>
  </si>
  <si>
    <t>Lucros (prejuízos) acumulados</t>
  </si>
  <si>
    <t>Fundo de liquidez - conta reserva</t>
  </si>
  <si>
    <t>(em milhões de R$)</t>
  </si>
  <si>
    <t>Fluxo de caixa das atividades operacionais</t>
  </si>
  <si>
    <t>Lucro líquido antes do imposto de renda e contribuição social</t>
  </si>
  <si>
    <t xml:space="preserve">   Juros, variações monetárias e cambiais</t>
  </si>
  <si>
    <t xml:space="preserve">   Equivalência patrimonial</t>
  </si>
  <si>
    <t xml:space="preserve">   Depreciação, amortização e exaustão</t>
  </si>
  <si>
    <t xml:space="preserve">   Perda (ganho) na venda de ativo imobilizado e intangível</t>
  </si>
  <si>
    <t xml:space="preserve">   Alteração no valor justo de ativo biológico</t>
  </si>
  <si>
    <t xml:space="preserve">   Instrumentos financeiros - compromisso firme</t>
  </si>
  <si>
    <t>Decréscimo (acréscimo) em ativos</t>
  </si>
  <si>
    <t xml:space="preserve">   Aplicações financeiras</t>
  </si>
  <si>
    <t xml:space="preserve">   Instrumentos financeiros derivativos</t>
  </si>
  <si>
    <t xml:space="preserve">   Estoques</t>
  </si>
  <si>
    <t xml:space="preserve">   Contas a receber de clientes</t>
  </si>
  <si>
    <t xml:space="preserve">   Partes relacionadas</t>
  </si>
  <si>
    <t xml:space="preserve">   Demais créditos e outros passivos</t>
  </si>
  <si>
    <t>Acréscimo (decréscimo) em passivos</t>
  </si>
  <si>
    <t xml:space="preserve">   Fornecedores</t>
  </si>
  <si>
    <t xml:space="preserve">   Uso do bem público - UBP</t>
  </si>
  <si>
    <t xml:space="preserve">   Salários e encargos sociais</t>
  </si>
  <si>
    <t xml:space="preserve">   Tributos a recolher</t>
  </si>
  <si>
    <t xml:space="preserve">   Demais obrigações e outros passivos</t>
  </si>
  <si>
    <t>Caixa proveniente das atividades operacionais</t>
  </si>
  <si>
    <t xml:space="preserve">   Imposto de renda e contribuição social pagos</t>
  </si>
  <si>
    <t>Caixa líquido proveniente das atividades operacionais</t>
  </si>
  <si>
    <t>Fluxo de caixa das atividades de investimento</t>
  </si>
  <si>
    <t xml:space="preserve">   Recebimento de venda de imobilizado e intangível</t>
  </si>
  <si>
    <t xml:space="preserve">   Recebimento pela venda de investimento</t>
  </si>
  <si>
    <t xml:space="preserve">   Recebimento de dividendos</t>
  </si>
  <si>
    <t xml:space="preserve">   Aquisição de imobilizado</t>
  </si>
  <si>
    <t xml:space="preserve">   Aumento de ativo biológico</t>
  </si>
  <si>
    <t xml:space="preserve">   Aquisição de intangível</t>
  </si>
  <si>
    <t>Caixa líquido aplicado nas atividade de investimento</t>
  </si>
  <si>
    <t xml:space="preserve">   Captações de recursos</t>
  </si>
  <si>
    <t xml:space="preserve">   Liquidação de empréstimos e financiamentos</t>
  </si>
  <si>
    <t xml:space="preserve">   Pagamento de dividendos</t>
  </si>
  <si>
    <t>Caixa líquido aplicado nas atividades de financiamentos</t>
  </si>
  <si>
    <t>Fluxo de caixa das atividades de financiamentos</t>
  </si>
  <si>
    <t>Decréscimo em caixa e quivalentes de caixa</t>
  </si>
  <si>
    <t>Efeito de oscilações nas taxas cambiais</t>
  </si>
  <si>
    <t>Caixa e quivalentes de caixa no início do período</t>
  </si>
  <si>
    <t>Caixa e equivalentes de caixa no fim do período</t>
  </si>
  <si>
    <t xml:space="preserve">   Juros pagos sobre empréstimos e uso do bem público - UBP</t>
  </si>
  <si>
    <r>
      <t xml:space="preserve">   Provisão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imobilizado, intangível e investimento</t>
    </r>
  </si>
  <si>
    <t xml:space="preserve">   Perda (ganho) líquido na venda de investimento</t>
  </si>
  <si>
    <t xml:space="preserve">   Perda estimada com créditos de liquidação duvidosa</t>
  </si>
  <si>
    <t xml:space="preserve">   Tributos a recuperar</t>
  </si>
  <si>
    <r>
      <t xml:space="preserve">   Deságio na recompra de </t>
    </r>
    <r>
      <rPr>
        <i/>
        <sz val="11"/>
        <color theme="2" tint="-0.499984740745262"/>
        <rFont val="Votorantim Sans"/>
      </rPr>
      <t>Bonds</t>
    </r>
  </si>
  <si>
    <t xml:space="preserve">   Constituição (reversão) de provisões</t>
  </si>
  <si>
    <t xml:space="preserve">   Baixa parcial de ágio pela venda das operações da China</t>
  </si>
  <si>
    <t xml:space="preserve">   Baixa de imobilizado sem efeito caixa</t>
  </si>
  <si>
    <t>Redução de caixa resultante de reclassificações  para ativos mantidos para venda</t>
  </si>
  <si>
    <t xml:space="preserve">   Operações descontinuadas</t>
  </si>
  <si>
    <t xml:space="preserve">   Venda de ações da Nexa</t>
  </si>
  <si>
    <t xml:space="preserve">   Captação oferta pública de ações</t>
  </si>
  <si>
    <r>
      <t xml:space="preserve">   Pagamento de </t>
    </r>
    <r>
      <rPr>
        <i/>
        <sz val="11"/>
        <color theme="2" tint="-0.499984740745262"/>
        <rFont val="Votorantim Sans"/>
      </rPr>
      <t>share premium</t>
    </r>
  </si>
  <si>
    <t>Aumento de caixa resultante de incorporação</t>
  </si>
  <si>
    <t xml:space="preserve">   Ajuste a valor justo de empréstimos e financiamentos</t>
  </si>
  <si>
    <t xml:space="preserve">   Ganho pelo ajuste a valor justo na desconsolidação da VTRM</t>
  </si>
  <si>
    <r>
      <t xml:space="preserve">   Ganho líquido com instrumento financeiro - </t>
    </r>
    <r>
      <rPr>
        <i/>
        <sz val="11"/>
        <color theme="2" tint="-0.499984740745262"/>
        <rFont val="Votorantim Sans"/>
      </rPr>
      <t>put option</t>
    </r>
  </si>
  <si>
    <t xml:space="preserve">   Aquisição de investimento</t>
  </si>
  <si>
    <t xml:space="preserve">   Deliberação dividendos intermediários Fibria</t>
  </si>
  <si>
    <t xml:space="preserve">   Ganho na renegociação de dívidas</t>
  </si>
  <si>
    <t>Efeito de caixa de empresas excluídas da consolidação</t>
  </si>
  <si>
    <t>Lucro líquido do exercício</t>
  </si>
  <si>
    <t>Adições (exclusões):</t>
  </si>
  <si>
    <t xml:space="preserve">   Operações continuadas</t>
  </si>
  <si>
    <t xml:space="preserve">      Equivalência patrimonial</t>
  </si>
  <si>
    <t>Segmentos industriais</t>
  </si>
  <si>
    <t xml:space="preserve">      Resultado financeiro líquido</t>
  </si>
  <si>
    <t xml:space="preserve">      Imposto de renda e contribuição social</t>
  </si>
  <si>
    <t xml:space="preserve">      Depreciação, amortização e exaustão</t>
  </si>
  <si>
    <t xml:space="preserve">   EBITDA antes de outras adições e itens excepcionais</t>
  </si>
  <si>
    <t>Adições:</t>
  </si>
  <si>
    <t xml:space="preserve">   Dividendos recebidos</t>
  </si>
  <si>
    <t>Itens excepcionais</t>
  </si>
  <si>
    <t xml:space="preserve">   EBITDA - operações descontinuadas</t>
  </si>
  <si>
    <t xml:space="preserve">   Itens não recorrentes - operações descontinuadas</t>
  </si>
  <si>
    <t xml:space="preserve">   Ganho líquido na venda de investimentos</t>
  </si>
  <si>
    <r>
      <t xml:space="preserve">   Reversão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 e intangível</t>
    </r>
  </si>
  <si>
    <r>
      <t xml:space="preserve">   Reversão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investimentos</t>
    </r>
  </si>
  <si>
    <t xml:space="preserve">   Valor justo dos ativos biológicos</t>
  </si>
  <si>
    <t xml:space="preserve">   Pagamento PERT com crédito de impostos diferidos</t>
  </si>
  <si>
    <t xml:space="preserve">   Outros</t>
  </si>
  <si>
    <t xml:space="preserve">EBITDA anualizado ajustado </t>
  </si>
  <si>
    <t>Prejuízo das operações descontinuadas</t>
  </si>
  <si>
    <t>Ajustes de itens que não representam alteração de caixa e equivalentes de caixa</t>
  </si>
  <si>
    <t>1T18</t>
  </si>
  <si>
    <t>2T18</t>
  </si>
  <si>
    <t>3T18</t>
  </si>
  <si>
    <t>* Valores considerando reapresentações</t>
  </si>
  <si>
    <t>Balanço Patrimonial Consolidado</t>
  </si>
  <si>
    <t>Demonstração Consolidada do Resultado</t>
  </si>
  <si>
    <t>Demonstração Consolidada dos Fluxos de Caixa</t>
  </si>
  <si>
    <t>EBITDA Ajustado Consolidado</t>
  </si>
  <si>
    <t>Intrumentos financeiros - Suzano</t>
  </si>
  <si>
    <t>Direito sobre uso de contratos de arrendamento</t>
  </si>
  <si>
    <t>Arrendamento mercantil</t>
  </si>
  <si>
    <t>1T19</t>
  </si>
  <si>
    <t xml:space="preserve">   Liquidação de contratos de arrendamento mercantil</t>
  </si>
  <si>
    <t>Total do patrimônio líquido</t>
  </si>
  <si>
    <t>2T19</t>
  </si>
  <si>
    <t xml:space="preserve">   Ganho na transação Fibria</t>
  </si>
  <si>
    <t>Instrumentos financeiros - put option</t>
  </si>
  <si>
    <t xml:space="preserve">   Realização de outros resultados abrangentes na liquidação da Voto IV</t>
  </si>
  <si>
    <t>Reconhecimento de crédito de PIS e COFINS sobre a base de cálculo de ICMS</t>
  </si>
  <si>
    <t>3T19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</si>
</sst>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* #,##0_);_(* \(#,##0\);_(* &quot;-&quot;??__\);_(@_)"/>
    <numFmt numFmtId="165" formatCode="#,##0;\(#,##0\)"/>
  </numFmts>
  <fonts count="1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Votorantim Sans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  <xf numFmtId="0" fontId="0" fillId="0" borderId="0" xfId="0" applyBorder="1"/>
    <xf numFmtId="3" fontId="4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/>
    <xf numFmtId="0" fontId="0" fillId="0" borderId="0" xfId="0" applyFont="1"/>
    <xf numFmtId="14" fontId="1" fillId="2" borderId="0" xfId="0" quotePrefix="1" applyNumberFormat="1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7" fillId="3" borderId="0" xfId="0" applyFont="1" applyFill="1"/>
    <xf numFmtId="0" fontId="4" fillId="0" borderId="0" xfId="0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4" fillId="4" borderId="0" xfId="0" applyNumberFormat="1" applyFont="1" applyFill="1" applyAlignment="1">
      <alignment horizontal="right" vertical="center"/>
    </xf>
    <xf numFmtId="0" fontId="4" fillId="4" borderId="0" xfId="0" applyFont="1" applyFill="1"/>
    <xf numFmtId="3" fontId="4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3" fontId="9" fillId="0" borderId="0" xfId="0" applyNumberFormat="1" applyFont="1" applyAlignment="1">
      <alignment horizontal="right" vertical="center"/>
    </xf>
    <xf numFmtId="0" fontId="8" fillId="0" borderId="0" xfId="0" applyFont="1"/>
    <xf numFmtId="0" fontId="10" fillId="3" borderId="0" xfId="0" applyFont="1" applyFill="1"/>
    <xf numFmtId="3" fontId="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0" fontId="0" fillId="0" borderId="0" xfId="0" applyAlignment="1">
      <alignment horizontal="left"/>
    </xf>
    <xf numFmtId="14" fontId="1" fillId="2" borderId="0" xfId="0" quotePrefix="1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5" fontId="3" fillId="0" borderId="6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0" fontId="4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P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EBITDA AJUSTADO'!A1"/><Relationship Id="rId5" Type="http://schemas.openxmlformats.org/officeDocument/2006/relationships/hyperlink" Target="#DFC!A1"/><Relationship Id="rId4" Type="http://schemas.openxmlformats.org/officeDocument/2006/relationships/hyperlink" Target="#DR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38</xdr:row>
      <xdr:rowOff>9525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29475" cy="72485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28</xdr:row>
      <xdr:rowOff>177545</xdr:rowOff>
    </xdr:from>
    <xdr:to>
      <xdr:col>5</xdr:col>
      <xdr:colOff>398681</xdr:colOff>
      <xdr:row>31</xdr:row>
      <xdr:rowOff>156379</xdr:rowOff>
    </xdr:to>
    <xdr:sp macro="" textlink="">
      <xdr:nvSpPr>
        <xdr:cNvPr id="3" name="CaixaDeTexto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0" y="5511545"/>
          <a:ext cx="3294281" cy="55033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24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Votorantim S.A.</a:t>
          </a:r>
        </a:p>
      </xdr:txBody>
    </xdr:sp>
    <xdr:clientData/>
  </xdr:twoCellAnchor>
  <xdr:twoCellAnchor editAs="oneCell">
    <xdr:from>
      <xdr:col>0</xdr:col>
      <xdr:colOff>0</xdr:colOff>
      <xdr:row>1</xdr:row>
      <xdr:rowOff>102649</xdr:rowOff>
    </xdr:from>
    <xdr:to>
      <xdr:col>4</xdr:col>
      <xdr:colOff>393700</xdr:colOff>
      <xdr:row>4</xdr:row>
      <xdr:rowOff>69594</xdr:rowOff>
    </xdr:to>
    <xdr:pic>
      <xdr:nvPicPr>
        <xdr:cNvPr id="4" name="Imagem 3" descr="Resultado de imagem para VOTORANTIM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149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173568</xdr:colOff>
      <xdr:row>31</xdr:row>
      <xdr:rowOff>124627</xdr:rowOff>
    </xdr:from>
    <xdr:to>
      <xdr:col>3</xdr:col>
      <xdr:colOff>295276</xdr:colOff>
      <xdr:row>35</xdr:row>
      <xdr:rowOff>85725</xdr:rowOff>
    </xdr:to>
    <xdr:sp macro="" textlink="">
      <xdr:nvSpPr>
        <xdr:cNvPr id="5" name="CaixaDeTexto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3568" y="6030127"/>
          <a:ext cx="1950508" cy="723098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Planilha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de Resultados 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495300</xdr:colOff>
      <xdr:row>5</xdr:row>
      <xdr:rowOff>161925</xdr:rowOff>
    </xdr:from>
    <xdr:to>
      <xdr:col>9</xdr:col>
      <xdr:colOff>238125</xdr:colOff>
      <xdr:row>8</xdr:row>
      <xdr:rowOff>140759</xdr:rowOff>
    </xdr:to>
    <xdr:sp macro="" textlink="">
      <xdr:nvSpPr>
        <xdr:cNvPr id="6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14500" y="1114425"/>
          <a:ext cx="40100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Balanço Patrimonial Consolidado</a:t>
          </a:r>
        </a:p>
      </xdr:txBody>
    </xdr:sp>
    <xdr:clientData/>
  </xdr:twoCellAnchor>
  <xdr:twoCellAnchor>
    <xdr:from>
      <xdr:col>2</xdr:col>
      <xdr:colOff>495300</xdr:colOff>
      <xdr:row>8</xdr:row>
      <xdr:rowOff>136525</xdr:rowOff>
    </xdr:from>
    <xdr:to>
      <xdr:col>11</xdr:col>
      <xdr:colOff>142875</xdr:colOff>
      <xdr:row>11</xdr:row>
      <xdr:rowOff>115359</xdr:rowOff>
    </xdr:to>
    <xdr:sp macro="" textlink="">
      <xdr:nvSpPr>
        <xdr:cNvPr id="8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14500" y="1660525"/>
          <a:ext cx="51339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Consolidada do Resultado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495300</xdr:colOff>
      <xdr:row>11</xdr:row>
      <xdr:rowOff>149225</xdr:rowOff>
    </xdr:from>
    <xdr:to>
      <xdr:col>11</xdr:col>
      <xdr:colOff>142876</xdr:colOff>
      <xdr:row>14</xdr:row>
      <xdr:rowOff>128059</xdr:rowOff>
    </xdr:to>
    <xdr:sp macro="" textlink="">
      <xdr:nvSpPr>
        <xdr:cNvPr id="11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14500" y="2244725"/>
          <a:ext cx="513397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 Consolidada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dos Fluxos de Caixa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495300</xdr:colOff>
      <xdr:row>14</xdr:row>
      <xdr:rowOff>133350</xdr:rowOff>
    </xdr:from>
    <xdr:to>
      <xdr:col>11</xdr:col>
      <xdr:colOff>142875</xdr:colOff>
      <xdr:row>17</xdr:row>
      <xdr:rowOff>112184</xdr:rowOff>
    </xdr:to>
    <xdr:sp macro="" textlink="">
      <xdr:nvSpPr>
        <xdr:cNvPr id="13" name="CaixaDeTexto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714500" y="2800350"/>
          <a:ext cx="51339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 Ajustado Consolidado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2603500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showGridLines="0" zoomScaleNormal="100" workbookViewId="0">
      <selection activeCell="A39" sqref="A39:L39"/>
    </sheetView>
  </sheetViews>
  <sheetFormatPr defaultColWidth="0" defaultRowHeight="15" zeroHeight="1"/>
  <cols>
    <col min="1" max="11" width="9.140625" customWidth="1"/>
    <col min="12" max="12" width="7.85546875" customWidth="1"/>
    <col min="13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 spans="1:12"/>
    <row r="34" spans="1:12"/>
    <row r="35" spans="1:12"/>
    <row r="36" spans="1:12"/>
    <row r="37" spans="1:12"/>
    <row r="38" spans="1:12"/>
    <row r="39" spans="1:12" ht="17.25" customHeight="1">
      <c r="A39" s="106" t="s">
        <v>177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</row>
    <row r="40" spans="1:12" hidden="1"/>
  </sheetData>
  <mergeCells count="1">
    <mergeCell ref="A39:L3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Q117"/>
  <sheetViews>
    <sheetView showGridLines="0" workbookViewId="0">
      <pane xSplit="2" ySplit="6" topLeftCell="L46" activePane="bottomRight" state="frozen"/>
      <selection pane="topRight" activeCell="C1" sqref="C1"/>
      <selection pane="bottomLeft" activeCell="A7" sqref="A7"/>
      <selection pane="bottomRight" activeCell="N50" sqref="N50:N51"/>
    </sheetView>
  </sheetViews>
  <sheetFormatPr defaultRowHeight="15"/>
  <cols>
    <col min="1" max="1" width="3.42578125" customWidth="1"/>
    <col min="2" max="2" width="61.42578125" bestFit="1" customWidth="1"/>
    <col min="3" max="13" width="18" customWidth="1"/>
    <col min="14" max="14" width="18" style="71" customWidth="1"/>
    <col min="15" max="17" width="18" customWidth="1"/>
  </cols>
  <sheetData>
    <row r="4" spans="2:17" ht="15" customHeight="1">
      <c r="B4" s="3"/>
      <c r="C4" s="107" t="s">
        <v>49</v>
      </c>
      <c r="D4" s="107"/>
      <c r="E4" s="107"/>
      <c r="F4" s="107"/>
      <c r="G4" s="107" t="s">
        <v>54</v>
      </c>
      <c r="H4" s="107"/>
      <c r="I4" s="107"/>
      <c r="J4" s="107"/>
      <c r="K4" s="108" t="s">
        <v>56</v>
      </c>
      <c r="L4" s="108"/>
      <c r="M4" s="108"/>
      <c r="N4" s="108"/>
      <c r="O4" s="109">
        <v>2019</v>
      </c>
      <c r="P4" s="109"/>
      <c r="Q4" s="109"/>
    </row>
    <row r="5" spans="2:17" ht="15.75">
      <c r="B5" s="4" t="s">
        <v>178</v>
      </c>
      <c r="C5" s="107"/>
      <c r="D5" s="107"/>
      <c r="E5" s="107"/>
      <c r="F5" s="107"/>
      <c r="G5" s="107"/>
      <c r="H5" s="107"/>
      <c r="I5" s="107"/>
      <c r="J5" s="107"/>
      <c r="K5" s="108"/>
      <c r="L5" s="108"/>
      <c r="M5" s="108"/>
      <c r="N5" s="108"/>
      <c r="O5" s="109"/>
      <c r="P5" s="109"/>
      <c r="Q5" s="109"/>
    </row>
    <row r="6" spans="2:17" ht="15.75">
      <c r="B6" s="4" t="s">
        <v>87</v>
      </c>
      <c r="C6" s="6">
        <v>42460</v>
      </c>
      <c r="D6" s="6">
        <v>42551</v>
      </c>
      <c r="E6" s="6">
        <v>42643</v>
      </c>
      <c r="F6" s="6">
        <v>42735</v>
      </c>
      <c r="G6" s="6">
        <v>42825</v>
      </c>
      <c r="H6" s="6">
        <v>42916</v>
      </c>
      <c r="I6" s="6">
        <v>43008</v>
      </c>
      <c r="J6" s="6">
        <v>43100</v>
      </c>
      <c r="K6" s="6">
        <v>43190</v>
      </c>
      <c r="L6" s="6">
        <v>43281</v>
      </c>
      <c r="M6" s="6">
        <v>43373</v>
      </c>
      <c r="N6" s="6">
        <v>43465</v>
      </c>
      <c r="O6" s="6">
        <v>43555</v>
      </c>
      <c r="P6" s="6">
        <v>43646</v>
      </c>
      <c r="Q6" s="6">
        <v>43738</v>
      </c>
    </row>
    <row r="7" spans="2:17" ht="15.75">
      <c r="B7" s="5" t="s">
        <v>0</v>
      </c>
    </row>
    <row r="8" spans="2:17">
      <c r="B8" s="1" t="s">
        <v>1</v>
      </c>
    </row>
    <row r="9" spans="2:17">
      <c r="B9" s="2" t="s">
        <v>2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0">
        <v>7667</v>
      </c>
      <c r="O9" s="7">
        <v>6921</v>
      </c>
      <c r="P9" s="7">
        <v>4944</v>
      </c>
      <c r="Q9" s="7">
        <v>6021</v>
      </c>
    </row>
    <row r="10" spans="2:17">
      <c r="B10" s="2" t="s">
        <v>3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0">
        <v>3390</v>
      </c>
      <c r="O10" s="7">
        <v>3824</v>
      </c>
      <c r="P10" s="7">
        <v>4894</v>
      </c>
      <c r="Q10" s="7">
        <v>3972</v>
      </c>
    </row>
    <row r="11" spans="2:17">
      <c r="B11" s="2" t="s">
        <v>4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0">
        <v>216</v>
      </c>
      <c r="O11" s="7">
        <v>221</v>
      </c>
      <c r="P11" s="7">
        <v>131</v>
      </c>
      <c r="Q11" s="7">
        <v>99</v>
      </c>
    </row>
    <row r="12" spans="2:17">
      <c r="B12" s="2" t="s">
        <v>5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0">
        <v>2546</v>
      </c>
      <c r="O12" s="7">
        <v>2668</v>
      </c>
      <c r="P12" s="7">
        <v>2975</v>
      </c>
      <c r="Q12" s="7">
        <v>2767</v>
      </c>
    </row>
    <row r="13" spans="2:17">
      <c r="B13" s="2" t="s">
        <v>6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0">
        <v>3814</v>
      </c>
      <c r="O13" s="7">
        <v>4015</v>
      </c>
      <c r="P13" s="7">
        <v>4113</v>
      </c>
      <c r="Q13" s="7">
        <v>4129</v>
      </c>
    </row>
    <row r="14" spans="2:17">
      <c r="B14" s="2" t="s">
        <v>7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0">
        <v>1473</v>
      </c>
      <c r="O14" s="7">
        <v>1567</v>
      </c>
      <c r="P14" s="7">
        <v>1803</v>
      </c>
      <c r="Q14" s="7">
        <v>1821</v>
      </c>
    </row>
    <row r="15" spans="2:17">
      <c r="B15" s="2" t="s">
        <v>8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0">
        <v>14</v>
      </c>
      <c r="O15" s="7">
        <v>14</v>
      </c>
      <c r="P15" s="7">
        <v>200</v>
      </c>
      <c r="Q15" s="7">
        <v>200</v>
      </c>
    </row>
    <row r="16" spans="2:17">
      <c r="B16" s="2" t="s">
        <v>9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0">
        <v>202</v>
      </c>
      <c r="O16" s="7">
        <v>102</v>
      </c>
      <c r="P16" s="7">
        <v>46</v>
      </c>
      <c r="Q16" s="7">
        <v>15</v>
      </c>
    </row>
    <row r="17" spans="2:17">
      <c r="B17" s="2" t="s">
        <v>10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5">
        <v>564</v>
      </c>
      <c r="O17" s="8">
        <v>512</v>
      </c>
      <c r="P17" s="8">
        <v>605</v>
      </c>
      <c r="Q17" s="8">
        <v>638</v>
      </c>
    </row>
    <row r="18" spans="2:17">
      <c r="B18" s="2"/>
      <c r="C18" s="9">
        <f t="shared" ref="C18:O18" si="0">SUM(C9:C17)</f>
        <v>17971</v>
      </c>
      <c r="D18" s="9">
        <f t="shared" si="0"/>
        <v>16852</v>
      </c>
      <c r="E18" s="9">
        <f t="shared" si="0"/>
        <v>17338</v>
      </c>
      <c r="F18" s="9">
        <f t="shared" si="0"/>
        <v>18258</v>
      </c>
      <c r="G18" s="9">
        <f t="shared" si="0"/>
        <v>17101</v>
      </c>
      <c r="H18" s="9">
        <f t="shared" si="0"/>
        <v>18309</v>
      </c>
      <c r="I18" s="9">
        <f t="shared" si="0"/>
        <v>17855</v>
      </c>
      <c r="J18" s="9">
        <f t="shared" si="0"/>
        <v>20980</v>
      </c>
      <c r="K18" s="9">
        <f t="shared" si="0"/>
        <v>18838</v>
      </c>
      <c r="L18" s="9">
        <f t="shared" si="0"/>
        <v>19383</v>
      </c>
      <c r="M18" s="9">
        <f t="shared" si="0"/>
        <v>20055</v>
      </c>
      <c r="N18" s="78">
        <f t="shared" si="0"/>
        <v>19886</v>
      </c>
      <c r="O18" s="9">
        <f t="shared" si="0"/>
        <v>19844</v>
      </c>
      <c r="P18" s="9">
        <f t="shared" ref="P18:Q18" si="1">SUM(P9:P17)</f>
        <v>19711</v>
      </c>
      <c r="Q18" s="9">
        <f t="shared" si="1"/>
        <v>19662</v>
      </c>
    </row>
    <row r="19" spans="2:17">
      <c r="B19" s="2" t="s">
        <v>11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0">
        <v>4527</v>
      </c>
      <c r="O19" s="7">
        <v>232</v>
      </c>
      <c r="P19" s="7">
        <v>0</v>
      </c>
      <c r="Q19" s="7">
        <v>0</v>
      </c>
    </row>
    <row r="20" spans="2:17" s="16" customFormat="1">
      <c r="B20" s="1"/>
      <c r="C20" s="14">
        <f t="shared" ref="C20:O20" si="2">SUM(C18:C19)</f>
        <v>18005</v>
      </c>
      <c r="D20" s="14">
        <f t="shared" si="2"/>
        <v>16887</v>
      </c>
      <c r="E20" s="14">
        <f t="shared" si="2"/>
        <v>17384</v>
      </c>
      <c r="F20" s="14">
        <f t="shared" si="2"/>
        <v>20383</v>
      </c>
      <c r="G20" s="14">
        <f t="shared" si="2"/>
        <v>19226</v>
      </c>
      <c r="H20" s="14">
        <f t="shared" si="2"/>
        <v>20434</v>
      </c>
      <c r="I20" s="14">
        <f t="shared" si="2"/>
        <v>20839</v>
      </c>
      <c r="J20" s="14">
        <f t="shared" si="2"/>
        <v>23179</v>
      </c>
      <c r="K20" s="14">
        <f t="shared" si="2"/>
        <v>25337</v>
      </c>
      <c r="L20" s="14">
        <f t="shared" si="2"/>
        <v>23628</v>
      </c>
      <c r="M20" s="14">
        <f t="shared" si="2"/>
        <v>24413</v>
      </c>
      <c r="N20" s="79">
        <f t="shared" si="2"/>
        <v>24413</v>
      </c>
      <c r="O20" s="14">
        <f t="shared" si="2"/>
        <v>20076</v>
      </c>
      <c r="P20" s="14">
        <f t="shared" ref="P20:Q20" si="3">SUM(P18:P19)</f>
        <v>19711</v>
      </c>
      <c r="Q20" s="14">
        <f t="shared" si="3"/>
        <v>19662</v>
      </c>
    </row>
    <row r="21" spans="2:17">
      <c r="B21" s="1" t="s">
        <v>12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0"/>
      <c r="O21" s="7"/>
      <c r="P21" s="7"/>
      <c r="Q21" s="7"/>
    </row>
    <row r="22" spans="2:17">
      <c r="B22" s="2" t="s">
        <v>13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0"/>
      <c r="O22" s="7"/>
      <c r="P22" s="7"/>
      <c r="Q22" s="7"/>
    </row>
    <row r="23" spans="2:17">
      <c r="B23" s="2" t="s">
        <v>3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0">
        <v>23</v>
      </c>
      <c r="O23" s="7">
        <v>23</v>
      </c>
      <c r="P23" s="7">
        <v>23</v>
      </c>
      <c r="Q23" s="7">
        <v>23</v>
      </c>
    </row>
    <row r="24" spans="2:17">
      <c r="B24" s="2" t="s">
        <v>86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0">
        <v>0</v>
      </c>
      <c r="O24" s="7">
        <v>0</v>
      </c>
      <c r="P24" s="7">
        <v>0</v>
      </c>
      <c r="Q24" s="7">
        <v>0</v>
      </c>
    </row>
    <row r="25" spans="2:17">
      <c r="B25" s="69" t="s">
        <v>182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0">
        <v>0</v>
      </c>
      <c r="O25" s="7">
        <v>3500</v>
      </c>
      <c r="P25" s="7">
        <v>2470</v>
      </c>
      <c r="Q25" s="7">
        <v>2530</v>
      </c>
    </row>
    <row r="26" spans="2:17">
      <c r="B26" s="2" t="s">
        <v>4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70">
        <v>256</v>
      </c>
      <c r="O26" s="7">
        <v>162</v>
      </c>
      <c r="P26" s="7">
        <v>534</v>
      </c>
      <c r="Q26" s="7">
        <v>612</v>
      </c>
    </row>
    <row r="27" spans="2:17">
      <c r="B27" s="2" t="s">
        <v>190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70">
        <v>744</v>
      </c>
      <c r="O27" s="7">
        <v>777</v>
      </c>
      <c r="P27" s="7">
        <v>744</v>
      </c>
      <c r="Q27" s="7">
        <v>764</v>
      </c>
    </row>
    <row r="28" spans="2:17">
      <c r="B28" s="2" t="s">
        <v>7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70">
        <v>2731</v>
      </c>
      <c r="O28" s="7">
        <v>3284</v>
      </c>
      <c r="P28" s="7">
        <v>3366</v>
      </c>
      <c r="Q28" s="7">
        <v>3210</v>
      </c>
    </row>
    <row r="29" spans="2:17">
      <c r="B29" s="2" t="s">
        <v>14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70">
        <v>271</v>
      </c>
      <c r="O29" s="7">
        <v>268</v>
      </c>
      <c r="P29" s="7">
        <v>288</v>
      </c>
      <c r="Q29" s="7">
        <v>379</v>
      </c>
    </row>
    <row r="30" spans="2:17">
      <c r="B30" s="2" t="s">
        <v>15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70">
        <v>4079</v>
      </c>
      <c r="O30" s="7">
        <v>2907</v>
      </c>
      <c r="P30" s="7">
        <v>2886</v>
      </c>
      <c r="Q30" s="7">
        <v>3181</v>
      </c>
    </row>
    <row r="31" spans="2:17">
      <c r="B31" s="2" t="s">
        <v>16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70">
        <v>755</v>
      </c>
      <c r="O31" s="7">
        <v>387</v>
      </c>
      <c r="P31" s="7">
        <v>352</v>
      </c>
      <c r="Q31" s="7">
        <v>363</v>
      </c>
    </row>
    <row r="32" spans="2:17">
      <c r="B32" s="2" t="s">
        <v>9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70">
        <v>0</v>
      </c>
      <c r="O32" s="7">
        <v>0</v>
      </c>
      <c r="P32" s="7">
        <v>0</v>
      </c>
      <c r="Q32" s="7">
        <v>17</v>
      </c>
    </row>
    <row r="33" spans="2:17">
      <c r="B33" s="2" t="s">
        <v>10</v>
      </c>
      <c r="C33" s="8">
        <v>648</v>
      </c>
      <c r="D33" s="8">
        <v>748</v>
      </c>
      <c r="E33" s="8">
        <v>784</v>
      </c>
      <c r="F33" s="8">
        <v>858</v>
      </c>
      <c r="G33" s="8">
        <v>697</v>
      </c>
      <c r="H33" s="8">
        <v>883</v>
      </c>
      <c r="I33" s="8">
        <v>734</v>
      </c>
      <c r="J33" s="8">
        <v>667</v>
      </c>
      <c r="K33" s="8">
        <v>738</v>
      </c>
      <c r="L33" s="8">
        <v>746</v>
      </c>
      <c r="M33" s="8">
        <v>671</v>
      </c>
      <c r="N33" s="85">
        <v>685</v>
      </c>
      <c r="O33" s="8">
        <v>799</v>
      </c>
      <c r="P33" s="8">
        <v>792</v>
      </c>
      <c r="Q33" s="8">
        <v>842</v>
      </c>
    </row>
    <row r="34" spans="2:17" s="16" customFormat="1">
      <c r="B34" s="1"/>
      <c r="C34" s="13">
        <f t="shared" ref="C34:O34" si="4">SUM(C23:C33)</f>
        <v>8469</v>
      </c>
      <c r="D34" s="13">
        <f t="shared" si="4"/>
        <v>8258</v>
      </c>
      <c r="E34" s="13">
        <f t="shared" si="4"/>
        <v>8311</v>
      </c>
      <c r="F34" s="13">
        <f t="shared" si="4"/>
        <v>8096</v>
      </c>
      <c r="G34" s="13">
        <f t="shared" si="4"/>
        <v>7682</v>
      </c>
      <c r="H34" s="13">
        <f t="shared" si="4"/>
        <v>8259</v>
      </c>
      <c r="I34" s="13">
        <f t="shared" si="4"/>
        <v>7721</v>
      </c>
      <c r="J34" s="13">
        <f t="shared" si="4"/>
        <v>7755</v>
      </c>
      <c r="K34" s="13">
        <f t="shared" si="4"/>
        <v>7900</v>
      </c>
      <c r="L34" s="13">
        <f t="shared" si="4"/>
        <v>9386</v>
      </c>
      <c r="M34" s="13">
        <f t="shared" si="4"/>
        <v>9566</v>
      </c>
      <c r="N34" s="82">
        <f t="shared" si="4"/>
        <v>9544</v>
      </c>
      <c r="O34" s="13">
        <f t="shared" si="4"/>
        <v>12107</v>
      </c>
      <c r="P34" s="13">
        <f t="shared" ref="P34:Q34" si="5">SUM(P23:P33)</f>
        <v>11455</v>
      </c>
      <c r="Q34" s="13">
        <f t="shared" si="5"/>
        <v>11921</v>
      </c>
    </row>
    <row r="35" spans="2:17">
      <c r="B35" s="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8"/>
      <c r="O35" s="9"/>
      <c r="P35" s="9"/>
      <c r="Q35" s="9"/>
    </row>
    <row r="36" spans="2:17">
      <c r="B36" s="2" t="s">
        <v>17</v>
      </c>
      <c r="C36" s="7">
        <v>13063</v>
      </c>
      <c r="D36" s="7">
        <v>12851</v>
      </c>
      <c r="E36" s="7">
        <v>13062</v>
      </c>
      <c r="F36" s="7">
        <v>12949</v>
      </c>
      <c r="G36" s="7">
        <v>13059</v>
      </c>
      <c r="H36" s="7">
        <v>13446</v>
      </c>
      <c r="I36" s="7">
        <v>13575</v>
      </c>
      <c r="J36" s="7">
        <v>13372</v>
      </c>
      <c r="K36" s="7">
        <v>9076</v>
      </c>
      <c r="L36" s="7">
        <v>10105</v>
      </c>
      <c r="M36" s="7">
        <v>10105</v>
      </c>
      <c r="N36" s="70">
        <v>10882</v>
      </c>
      <c r="O36" s="7">
        <v>11102</v>
      </c>
      <c r="P36" s="7">
        <v>11095</v>
      </c>
      <c r="Q36" s="7">
        <v>11347</v>
      </c>
    </row>
    <row r="37" spans="2:17">
      <c r="B37" s="2" t="s">
        <v>18</v>
      </c>
      <c r="C37" s="7">
        <v>28524</v>
      </c>
      <c r="D37" s="7">
        <v>27545</v>
      </c>
      <c r="E37" s="7">
        <v>27845</v>
      </c>
      <c r="F37" s="7">
        <v>25091</v>
      </c>
      <c r="G37" s="7">
        <v>24903</v>
      </c>
      <c r="H37" s="7">
        <v>25438</v>
      </c>
      <c r="I37" s="7">
        <v>25161</v>
      </c>
      <c r="J37" s="7">
        <v>25855</v>
      </c>
      <c r="K37" s="7">
        <v>25810</v>
      </c>
      <c r="L37" s="7">
        <v>25629</v>
      </c>
      <c r="M37" s="7">
        <v>26119</v>
      </c>
      <c r="N37" s="70">
        <v>26180</v>
      </c>
      <c r="O37" s="7">
        <v>26058</v>
      </c>
      <c r="P37" s="7">
        <v>26030</v>
      </c>
      <c r="Q37" s="7">
        <v>26681</v>
      </c>
    </row>
    <row r="38" spans="2:17">
      <c r="B38" s="2" t="s">
        <v>19</v>
      </c>
      <c r="C38" s="7">
        <v>14671</v>
      </c>
      <c r="D38" s="7">
        <v>13482</v>
      </c>
      <c r="E38" s="7">
        <v>13424</v>
      </c>
      <c r="F38" s="7">
        <v>13013</v>
      </c>
      <c r="G38" s="7">
        <v>12577</v>
      </c>
      <c r="H38" s="7">
        <v>13047</v>
      </c>
      <c r="I38" s="7">
        <v>12067</v>
      </c>
      <c r="J38" s="7">
        <v>12443</v>
      </c>
      <c r="K38" s="7">
        <v>12379</v>
      </c>
      <c r="L38" s="7">
        <v>13764</v>
      </c>
      <c r="M38" s="7">
        <v>13852</v>
      </c>
      <c r="N38" s="70">
        <v>13341</v>
      </c>
      <c r="O38" s="7">
        <v>13315</v>
      </c>
      <c r="P38" s="7">
        <v>13030</v>
      </c>
      <c r="Q38" s="7">
        <v>13367</v>
      </c>
    </row>
    <row r="39" spans="2:17">
      <c r="B39" s="69" t="s">
        <v>183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0">
        <v>0</v>
      </c>
      <c r="O39" s="7">
        <v>784</v>
      </c>
      <c r="P39" s="7">
        <v>756</v>
      </c>
      <c r="Q39" s="7">
        <v>884</v>
      </c>
    </row>
    <row r="40" spans="2:17">
      <c r="B40" s="2" t="s">
        <v>20</v>
      </c>
      <c r="C40" s="8">
        <v>135</v>
      </c>
      <c r="D40" s="8">
        <v>132</v>
      </c>
      <c r="E40" s="8">
        <v>132</v>
      </c>
      <c r="F40" s="8">
        <v>66</v>
      </c>
      <c r="G40" s="8">
        <v>66</v>
      </c>
      <c r="H40" s="8">
        <v>64</v>
      </c>
      <c r="I40" s="8">
        <v>68</v>
      </c>
      <c r="J40" s="8">
        <v>65</v>
      </c>
      <c r="K40" s="8">
        <v>65</v>
      </c>
      <c r="L40" s="8">
        <v>66</v>
      </c>
      <c r="M40" s="8">
        <v>66</v>
      </c>
      <c r="N40" s="85">
        <v>74</v>
      </c>
      <c r="O40" s="8">
        <v>75</v>
      </c>
      <c r="P40" s="8">
        <v>75</v>
      </c>
      <c r="Q40" s="8">
        <v>75</v>
      </c>
    </row>
    <row r="41" spans="2:17" s="16" customFormat="1">
      <c r="B41" s="1"/>
      <c r="C41" s="14">
        <f t="shared" ref="C41:O41" si="6">SUM(C34:C40)</f>
        <v>64862</v>
      </c>
      <c r="D41" s="14">
        <f t="shared" si="6"/>
        <v>62268</v>
      </c>
      <c r="E41" s="14">
        <f t="shared" si="6"/>
        <v>62774</v>
      </c>
      <c r="F41" s="14">
        <f t="shared" si="6"/>
        <v>59215</v>
      </c>
      <c r="G41" s="14">
        <f t="shared" si="6"/>
        <v>58287</v>
      </c>
      <c r="H41" s="14">
        <f t="shared" si="6"/>
        <v>60254</v>
      </c>
      <c r="I41" s="14">
        <f t="shared" si="6"/>
        <v>58592</v>
      </c>
      <c r="J41" s="14">
        <f t="shared" si="6"/>
        <v>59490</v>
      </c>
      <c r="K41" s="14">
        <f t="shared" si="6"/>
        <v>55230</v>
      </c>
      <c r="L41" s="14">
        <f t="shared" si="6"/>
        <v>58950</v>
      </c>
      <c r="M41" s="14">
        <f t="shared" si="6"/>
        <v>59708</v>
      </c>
      <c r="N41" s="79">
        <f t="shared" si="6"/>
        <v>60021</v>
      </c>
      <c r="O41" s="14">
        <f t="shared" si="6"/>
        <v>63441</v>
      </c>
      <c r="P41" s="14">
        <f t="shared" ref="P41:Q41" si="7">SUM(P34:P40)</f>
        <v>62441</v>
      </c>
      <c r="Q41" s="14">
        <f t="shared" si="7"/>
        <v>64275</v>
      </c>
    </row>
    <row r="42" spans="2:17">
      <c r="B42" s="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0"/>
      <c r="O42" s="7"/>
      <c r="P42" s="7"/>
      <c r="Q42" s="7"/>
    </row>
    <row r="43" spans="2:17" s="16" customFormat="1" ht="15.75" thickBot="1">
      <c r="B43" s="1" t="s">
        <v>21</v>
      </c>
      <c r="C43" s="15">
        <f t="shared" ref="C43:O43" si="8">C20+C41</f>
        <v>82867</v>
      </c>
      <c r="D43" s="15">
        <f t="shared" si="8"/>
        <v>79155</v>
      </c>
      <c r="E43" s="15">
        <f t="shared" si="8"/>
        <v>80158</v>
      </c>
      <c r="F43" s="15">
        <f t="shared" si="8"/>
        <v>79598</v>
      </c>
      <c r="G43" s="15">
        <f t="shared" si="8"/>
        <v>77513</v>
      </c>
      <c r="H43" s="15">
        <f t="shared" si="8"/>
        <v>80688</v>
      </c>
      <c r="I43" s="15">
        <f t="shared" si="8"/>
        <v>79431</v>
      </c>
      <c r="J43" s="15">
        <f t="shared" si="8"/>
        <v>82669</v>
      </c>
      <c r="K43" s="15">
        <f t="shared" si="8"/>
        <v>80567</v>
      </c>
      <c r="L43" s="15">
        <f t="shared" si="8"/>
        <v>82578</v>
      </c>
      <c r="M43" s="15">
        <f t="shared" si="8"/>
        <v>84121</v>
      </c>
      <c r="N43" s="81">
        <f t="shared" si="8"/>
        <v>84434</v>
      </c>
      <c r="O43" s="15">
        <f t="shared" si="8"/>
        <v>83517</v>
      </c>
      <c r="P43" s="15">
        <f t="shared" ref="P43:Q43" si="9">P20+P41</f>
        <v>82152</v>
      </c>
      <c r="Q43" s="15">
        <f t="shared" si="9"/>
        <v>83937</v>
      </c>
    </row>
    <row r="44" spans="2:17" ht="15.75" thickTop="1">
      <c r="B44" s="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0"/>
      <c r="O44" s="7"/>
      <c r="P44" s="7"/>
      <c r="Q44" s="7"/>
    </row>
    <row r="45" spans="2:17" ht="15.75">
      <c r="B45" s="5" t="s">
        <v>22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0"/>
      <c r="O45" s="7"/>
      <c r="P45" s="7"/>
      <c r="Q45" s="7"/>
    </row>
    <row r="46" spans="2:17">
      <c r="B46" s="1" t="s">
        <v>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0"/>
      <c r="O46" s="7"/>
      <c r="P46" s="7"/>
      <c r="Q46" s="7"/>
    </row>
    <row r="47" spans="2:17">
      <c r="B47" s="2" t="s">
        <v>23</v>
      </c>
      <c r="C47" s="7">
        <v>2447</v>
      </c>
      <c r="D47" s="7">
        <v>1942</v>
      </c>
      <c r="E47" s="7">
        <v>1483</v>
      </c>
      <c r="F47" s="7">
        <v>1772</v>
      </c>
      <c r="G47" s="7">
        <v>1721</v>
      </c>
      <c r="H47" s="7">
        <v>1845</v>
      </c>
      <c r="I47" s="7">
        <v>2156</v>
      </c>
      <c r="J47" s="7">
        <v>2573</v>
      </c>
      <c r="K47" s="7">
        <v>2197</v>
      </c>
      <c r="L47" s="7">
        <v>1232</v>
      </c>
      <c r="M47" s="7">
        <v>2593</v>
      </c>
      <c r="N47" s="70">
        <v>5291</v>
      </c>
      <c r="O47" s="7">
        <v>1672</v>
      </c>
      <c r="P47" s="7">
        <v>1278</v>
      </c>
      <c r="Q47" s="7">
        <v>774</v>
      </c>
    </row>
    <row r="48" spans="2:17">
      <c r="B48" s="69" t="s">
        <v>184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0">
        <v>0</v>
      </c>
      <c r="O48" s="7">
        <v>250</v>
      </c>
      <c r="P48" s="7">
        <v>196</v>
      </c>
      <c r="Q48" s="7">
        <v>229</v>
      </c>
    </row>
    <row r="49" spans="2:17">
      <c r="B49" s="2" t="s">
        <v>4</v>
      </c>
      <c r="C49" s="7">
        <v>415</v>
      </c>
      <c r="D49" s="7">
        <v>520</v>
      </c>
      <c r="E49" s="7">
        <v>495</v>
      </c>
      <c r="F49" s="7">
        <v>401</v>
      </c>
      <c r="G49" s="7">
        <v>484</v>
      </c>
      <c r="H49" s="7">
        <v>407</v>
      </c>
      <c r="I49" s="7">
        <v>385</v>
      </c>
      <c r="J49" s="7">
        <v>299</v>
      </c>
      <c r="K49" s="7">
        <v>50</v>
      </c>
      <c r="L49" s="7">
        <v>252</v>
      </c>
      <c r="M49" s="7">
        <v>278</v>
      </c>
      <c r="N49" s="70">
        <v>166</v>
      </c>
      <c r="O49" s="7">
        <v>102</v>
      </c>
      <c r="P49" s="7">
        <v>53</v>
      </c>
      <c r="Q49" s="7">
        <v>99</v>
      </c>
    </row>
    <row r="50" spans="2:17">
      <c r="B50" s="2" t="s">
        <v>24</v>
      </c>
      <c r="C50" s="7">
        <v>966</v>
      </c>
      <c r="D50" s="7">
        <v>784</v>
      </c>
      <c r="E50" s="7">
        <v>914</v>
      </c>
      <c r="F50" s="7">
        <v>968</v>
      </c>
      <c r="G50" s="7">
        <v>1009</v>
      </c>
      <c r="H50" s="7">
        <v>899</v>
      </c>
      <c r="I50" s="7">
        <v>769</v>
      </c>
      <c r="J50" s="7">
        <v>1070</v>
      </c>
      <c r="K50" s="7">
        <v>1253</v>
      </c>
      <c r="L50" s="7">
        <v>990</v>
      </c>
      <c r="M50" s="7">
        <v>1029</v>
      </c>
      <c r="N50" s="70">
        <v>1312</v>
      </c>
      <c r="O50" s="7">
        <v>989</v>
      </c>
      <c r="P50" s="7">
        <v>1177</v>
      </c>
      <c r="Q50" s="7">
        <v>1397</v>
      </c>
    </row>
    <row r="51" spans="2:17">
      <c r="B51" s="2" t="s">
        <v>25</v>
      </c>
      <c r="C51" s="7">
        <v>2989</v>
      </c>
      <c r="D51" s="7">
        <v>2879</v>
      </c>
      <c r="E51" s="7">
        <v>2727</v>
      </c>
      <c r="F51" s="7">
        <v>2726</v>
      </c>
      <c r="G51" s="7">
        <v>2307</v>
      </c>
      <c r="H51" s="7">
        <v>2806</v>
      </c>
      <c r="I51" s="7">
        <v>2819</v>
      </c>
      <c r="J51" s="7">
        <v>3353</v>
      </c>
      <c r="K51" s="7">
        <v>3170</v>
      </c>
      <c r="L51" s="7">
        <v>3963</v>
      </c>
      <c r="M51" s="7">
        <v>4156</v>
      </c>
      <c r="N51" s="70">
        <v>4137</v>
      </c>
      <c r="O51" s="7">
        <v>3618</v>
      </c>
      <c r="P51" s="7">
        <v>3748</v>
      </c>
      <c r="Q51" s="7">
        <v>3919</v>
      </c>
    </row>
    <row r="52" spans="2:17">
      <c r="B52" s="2" t="s">
        <v>26</v>
      </c>
      <c r="C52" s="7">
        <v>663</v>
      </c>
      <c r="D52" s="7">
        <v>727</v>
      </c>
      <c r="E52" s="7">
        <v>863</v>
      </c>
      <c r="F52" s="7">
        <v>848</v>
      </c>
      <c r="G52" s="7">
        <v>539</v>
      </c>
      <c r="H52" s="7">
        <v>663</v>
      </c>
      <c r="I52" s="7">
        <v>810</v>
      </c>
      <c r="J52" s="7">
        <v>895</v>
      </c>
      <c r="K52" s="7">
        <v>555</v>
      </c>
      <c r="L52" s="7">
        <v>742</v>
      </c>
      <c r="M52" s="7">
        <v>887</v>
      </c>
      <c r="N52" s="70">
        <v>845</v>
      </c>
      <c r="O52" s="7">
        <v>587</v>
      </c>
      <c r="P52" s="7">
        <v>701</v>
      </c>
      <c r="Q52" s="7">
        <v>839</v>
      </c>
    </row>
    <row r="53" spans="2:17">
      <c r="B53" s="2" t="s">
        <v>27</v>
      </c>
      <c r="C53" s="7">
        <v>427</v>
      </c>
      <c r="D53" s="7">
        <v>448</v>
      </c>
      <c r="E53" s="7">
        <v>472</v>
      </c>
      <c r="F53" s="7">
        <v>422</v>
      </c>
      <c r="G53" s="7">
        <v>445</v>
      </c>
      <c r="H53" s="7">
        <v>465</v>
      </c>
      <c r="I53" s="7">
        <v>535</v>
      </c>
      <c r="J53" s="7">
        <v>617</v>
      </c>
      <c r="K53" s="7">
        <v>411</v>
      </c>
      <c r="L53" s="7">
        <v>465</v>
      </c>
      <c r="M53" s="7">
        <v>535</v>
      </c>
      <c r="N53" s="70">
        <v>490</v>
      </c>
      <c r="O53" s="7">
        <v>499</v>
      </c>
      <c r="P53" s="7">
        <v>509</v>
      </c>
      <c r="Q53" s="7">
        <v>559</v>
      </c>
    </row>
    <row r="54" spans="2:17">
      <c r="B54" s="2" t="s">
        <v>28</v>
      </c>
      <c r="C54" s="7">
        <v>222</v>
      </c>
      <c r="D54" s="7">
        <v>179</v>
      </c>
      <c r="E54" s="7">
        <v>179</v>
      </c>
      <c r="F54" s="7">
        <v>174</v>
      </c>
      <c r="G54" s="7">
        <v>186</v>
      </c>
      <c r="H54" s="7">
        <v>179</v>
      </c>
      <c r="I54" s="7">
        <v>190</v>
      </c>
      <c r="J54" s="7">
        <v>408</v>
      </c>
      <c r="K54" s="7">
        <v>395</v>
      </c>
      <c r="L54" s="7">
        <v>236</v>
      </c>
      <c r="M54" s="7">
        <v>231</v>
      </c>
      <c r="N54" s="70">
        <v>128</v>
      </c>
      <c r="O54" s="7">
        <v>132</v>
      </c>
      <c r="P54" s="7">
        <v>121</v>
      </c>
      <c r="Q54" s="7">
        <v>139</v>
      </c>
    </row>
    <row r="55" spans="2:17">
      <c r="B55" s="2" t="s">
        <v>29</v>
      </c>
      <c r="C55" s="7">
        <v>197</v>
      </c>
      <c r="D55" s="7">
        <v>59</v>
      </c>
      <c r="E55" s="7">
        <v>54</v>
      </c>
      <c r="F55" s="7">
        <v>48</v>
      </c>
      <c r="G55" s="7">
        <v>57</v>
      </c>
      <c r="H55" s="7">
        <v>51</v>
      </c>
      <c r="I55" s="7">
        <v>238</v>
      </c>
      <c r="J55" s="7">
        <v>188</v>
      </c>
      <c r="K55" s="7">
        <v>680</v>
      </c>
      <c r="L55" s="7">
        <v>63</v>
      </c>
      <c r="M55" s="7">
        <v>51</v>
      </c>
      <c r="N55" s="70">
        <v>482</v>
      </c>
      <c r="O55" s="7">
        <v>511</v>
      </c>
      <c r="P55" s="7">
        <v>529</v>
      </c>
      <c r="Q55" s="7">
        <v>48</v>
      </c>
    </row>
    <row r="56" spans="2:17">
      <c r="B56" s="2" t="s">
        <v>30</v>
      </c>
      <c r="C56" s="7">
        <v>62</v>
      </c>
      <c r="D56" s="7">
        <v>63</v>
      </c>
      <c r="E56" s="7">
        <v>64</v>
      </c>
      <c r="F56" s="7">
        <v>67</v>
      </c>
      <c r="G56" s="7">
        <v>68</v>
      </c>
      <c r="H56" s="7">
        <v>69</v>
      </c>
      <c r="I56" s="7">
        <v>67</v>
      </c>
      <c r="J56" s="7">
        <v>76</v>
      </c>
      <c r="K56" s="7">
        <v>76</v>
      </c>
      <c r="L56" s="7">
        <v>77</v>
      </c>
      <c r="M56" s="7">
        <v>78</v>
      </c>
      <c r="N56" s="70">
        <v>83</v>
      </c>
      <c r="O56" s="7">
        <v>82</v>
      </c>
      <c r="P56" s="7">
        <v>83</v>
      </c>
      <c r="Q56" s="7">
        <v>83</v>
      </c>
    </row>
    <row r="57" spans="2:17">
      <c r="B57" s="2" t="s">
        <v>9</v>
      </c>
      <c r="C57" s="7">
        <v>0</v>
      </c>
      <c r="D57" s="7">
        <v>8</v>
      </c>
      <c r="E57" s="7">
        <v>8</v>
      </c>
      <c r="F57" s="7">
        <v>0</v>
      </c>
      <c r="G57" s="7">
        <v>0</v>
      </c>
      <c r="H57" s="7">
        <v>0</v>
      </c>
      <c r="I57" s="7">
        <v>0</v>
      </c>
      <c r="J57" s="7">
        <v>1</v>
      </c>
      <c r="K57" s="7">
        <v>1</v>
      </c>
      <c r="L57" s="7">
        <v>5</v>
      </c>
      <c r="M57" s="7">
        <v>8</v>
      </c>
      <c r="N57" s="70">
        <v>19</v>
      </c>
      <c r="O57" s="7">
        <v>0</v>
      </c>
      <c r="P57" s="7">
        <v>11</v>
      </c>
      <c r="Q57" s="7">
        <v>19</v>
      </c>
    </row>
    <row r="58" spans="2:17">
      <c r="B58" s="2" t="s">
        <v>31</v>
      </c>
      <c r="C58" s="7">
        <v>0</v>
      </c>
      <c r="D58" s="7">
        <v>0</v>
      </c>
      <c r="E58" s="7">
        <v>249</v>
      </c>
      <c r="F58" s="7">
        <v>244</v>
      </c>
      <c r="G58" s="7">
        <v>244</v>
      </c>
      <c r="H58" s="7">
        <v>243</v>
      </c>
      <c r="I58" s="7">
        <v>242</v>
      </c>
      <c r="J58" s="7">
        <v>246</v>
      </c>
      <c r="K58" s="7">
        <v>247</v>
      </c>
      <c r="L58" s="7">
        <v>245</v>
      </c>
      <c r="M58" s="7">
        <v>251</v>
      </c>
      <c r="N58" s="70">
        <v>242</v>
      </c>
      <c r="O58" s="7">
        <v>211</v>
      </c>
      <c r="P58" s="7">
        <v>150</v>
      </c>
      <c r="Q58" s="7">
        <v>89</v>
      </c>
    </row>
    <row r="59" spans="2:17">
      <c r="B59" s="2" t="s">
        <v>32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97</v>
      </c>
      <c r="J59" s="7">
        <v>104</v>
      </c>
      <c r="K59" s="7">
        <v>92</v>
      </c>
      <c r="L59" s="7">
        <v>116</v>
      </c>
      <c r="M59" s="7">
        <v>124</v>
      </c>
      <c r="N59" s="70">
        <v>124</v>
      </c>
      <c r="O59" s="7">
        <v>117</v>
      </c>
      <c r="P59" s="7">
        <v>118</v>
      </c>
      <c r="Q59" s="7">
        <v>108</v>
      </c>
    </row>
    <row r="60" spans="2:17">
      <c r="B60" s="2" t="s">
        <v>33</v>
      </c>
      <c r="C60" s="8">
        <v>799</v>
      </c>
      <c r="D60" s="8">
        <v>886</v>
      </c>
      <c r="E60" s="8">
        <v>587</v>
      </c>
      <c r="F60" s="8">
        <v>795</v>
      </c>
      <c r="G60" s="8">
        <v>647</v>
      </c>
      <c r="H60" s="8">
        <v>686</v>
      </c>
      <c r="I60" s="8">
        <v>573</v>
      </c>
      <c r="J60" s="8">
        <v>643</v>
      </c>
      <c r="K60" s="8">
        <v>641</v>
      </c>
      <c r="L60" s="8">
        <v>681</v>
      </c>
      <c r="M60" s="8">
        <v>737</v>
      </c>
      <c r="N60" s="85">
        <v>808</v>
      </c>
      <c r="O60" s="8">
        <v>741</v>
      </c>
      <c r="P60" s="8">
        <v>788</v>
      </c>
      <c r="Q60" s="8">
        <v>849</v>
      </c>
    </row>
    <row r="61" spans="2:17" s="16" customFormat="1">
      <c r="B61" s="1"/>
      <c r="C61" s="13">
        <f t="shared" ref="C61:O61" si="10">SUM(C47:C60)</f>
        <v>9187</v>
      </c>
      <c r="D61" s="13">
        <f t="shared" si="10"/>
        <v>8495</v>
      </c>
      <c r="E61" s="13">
        <f t="shared" si="10"/>
        <v>8095</v>
      </c>
      <c r="F61" s="13">
        <f t="shared" si="10"/>
        <v>8465</v>
      </c>
      <c r="G61" s="13">
        <f t="shared" si="10"/>
        <v>7707</v>
      </c>
      <c r="H61" s="13">
        <f t="shared" si="10"/>
        <v>8313</v>
      </c>
      <c r="I61" s="13">
        <f t="shared" si="10"/>
        <v>8881</v>
      </c>
      <c r="J61" s="13">
        <f t="shared" si="10"/>
        <v>10473</v>
      </c>
      <c r="K61" s="13">
        <f t="shared" si="10"/>
        <v>9768</v>
      </c>
      <c r="L61" s="13">
        <f t="shared" si="10"/>
        <v>9067</v>
      </c>
      <c r="M61" s="13">
        <f t="shared" si="10"/>
        <v>10958</v>
      </c>
      <c r="N61" s="82">
        <f t="shared" si="10"/>
        <v>14127</v>
      </c>
      <c r="O61" s="13">
        <f t="shared" si="10"/>
        <v>9511</v>
      </c>
      <c r="P61" s="13">
        <f t="shared" ref="P61:Q61" si="11">SUM(P47:P60)</f>
        <v>9462</v>
      </c>
      <c r="Q61" s="13">
        <f t="shared" si="11"/>
        <v>9151</v>
      </c>
    </row>
    <row r="62" spans="2:17">
      <c r="B62" s="2" t="s">
        <v>34</v>
      </c>
      <c r="C62" s="8">
        <v>0</v>
      </c>
      <c r="D62" s="8">
        <v>0</v>
      </c>
      <c r="E62" s="8">
        <v>0</v>
      </c>
      <c r="F62" s="7">
        <v>1522</v>
      </c>
      <c r="G62" s="7">
        <v>1522</v>
      </c>
      <c r="H62" s="7">
        <v>1522</v>
      </c>
      <c r="I62" s="7">
        <v>1606</v>
      </c>
      <c r="J62" s="7">
        <v>1526</v>
      </c>
      <c r="K62" s="7">
        <v>1526</v>
      </c>
      <c r="L62" s="7">
        <v>3</v>
      </c>
      <c r="M62" s="7">
        <v>3</v>
      </c>
      <c r="N62" s="70">
        <v>108</v>
      </c>
      <c r="O62" s="7">
        <v>119</v>
      </c>
      <c r="P62" s="7">
        <v>0</v>
      </c>
      <c r="Q62" s="7">
        <v>2</v>
      </c>
    </row>
    <row r="63" spans="2:17" s="16" customFormat="1">
      <c r="B63" s="1"/>
      <c r="C63" s="14">
        <f t="shared" ref="C63:O63" si="12">SUM(C61:C62)</f>
        <v>9187</v>
      </c>
      <c r="D63" s="14">
        <f t="shared" si="12"/>
        <v>8495</v>
      </c>
      <c r="E63" s="14">
        <f t="shared" si="12"/>
        <v>8095</v>
      </c>
      <c r="F63" s="14">
        <f t="shared" si="12"/>
        <v>9987</v>
      </c>
      <c r="G63" s="14">
        <f t="shared" si="12"/>
        <v>9229</v>
      </c>
      <c r="H63" s="14">
        <f t="shared" si="12"/>
        <v>9835</v>
      </c>
      <c r="I63" s="14">
        <f t="shared" si="12"/>
        <v>10487</v>
      </c>
      <c r="J63" s="14">
        <f t="shared" si="12"/>
        <v>11999</v>
      </c>
      <c r="K63" s="14">
        <f t="shared" si="12"/>
        <v>11294</v>
      </c>
      <c r="L63" s="14">
        <f t="shared" si="12"/>
        <v>9070</v>
      </c>
      <c r="M63" s="14">
        <f t="shared" si="12"/>
        <v>10961</v>
      </c>
      <c r="N63" s="79">
        <f t="shared" si="12"/>
        <v>14235</v>
      </c>
      <c r="O63" s="14">
        <f t="shared" si="12"/>
        <v>9630</v>
      </c>
      <c r="P63" s="14">
        <f t="shared" ref="P63:Q63" si="13">SUM(P61:P62)</f>
        <v>9462</v>
      </c>
      <c r="Q63" s="14">
        <f t="shared" si="13"/>
        <v>9153</v>
      </c>
    </row>
    <row r="64" spans="2:17">
      <c r="B64" s="1" t="s">
        <v>12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0"/>
      <c r="O64" s="7"/>
      <c r="P64" s="7"/>
      <c r="Q64" s="7"/>
    </row>
    <row r="65" spans="2:17">
      <c r="B65" s="2" t="s">
        <v>23</v>
      </c>
      <c r="C65" s="7">
        <v>24614</v>
      </c>
      <c r="D65" s="7">
        <v>22666</v>
      </c>
      <c r="E65" s="7">
        <v>23712</v>
      </c>
      <c r="F65" s="7">
        <v>22631</v>
      </c>
      <c r="G65" s="7">
        <v>22511</v>
      </c>
      <c r="H65" s="7">
        <v>23956</v>
      </c>
      <c r="I65" s="7">
        <v>22757</v>
      </c>
      <c r="J65" s="7">
        <v>22057</v>
      </c>
      <c r="K65" s="7">
        <v>21277</v>
      </c>
      <c r="L65" s="7">
        <v>23504</v>
      </c>
      <c r="M65" s="7">
        <v>22760</v>
      </c>
      <c r="N65" s="70">
        <v>19160</v>
      </c>
      <c r="O65" s="7">
        <v>18604</v>
      </c>
      <c r="P65" s="7">
        <v>18193</v>
      </c>
      <c r="Q65" s="7">
        <v>19330</v>
      </c>
    </row>
    <row r="66" spans="2:17">
      <c r="B66" s="69" t="s">
        <v>184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0">
        <v>0</v>
      </c>
      <c r="O66" s="7">
        <v>546</v>
      </c>
      <c r="P66" s="7">
        <v>583</v>
      </c>
      <c r="Q66" s="7">
        <v>682</v>
      </c>
    </row>
    <row r="67" spans="2:17">
      <c r="B67" s="2" t="s">
        <v>4</v>
      </c>
      <c r="C67" s="7">
        <v>54</v>
      </c>
      <c r="D67" s="7">
        <v>592</v>
      </c>
      <c r="E67" s="7">
        <v>490</v>
      </c>
      <c r="F67" s="7">
        <v>342</v>
      </c>
      <c r="G67" s="7">
        <v>415</v>
      </c>
      <c r="H67" s="7">
        <v>366</v>
      </c>
      <c r="I67" s="7">
        <v>350</v>
      </c>
      <c r="J67" s="7">
        <v>83</v>
      </c>
      <c r="K67" s="7">
        <v>99</v>
      </c>
      <c r="L67" s="7">
        <v>123</v>
      </c>
      <c r="M67" s="7">
        <v>138</v>
      </c>
      <c r="N67" s="70">
        <v>78</v>
      </c>
      <c r="O67" s="7">
        <v>113</v>
      </c>
      <c r="P67" s="7">
        <v>572</v>
      </c>
      <c r="Q67" s="7">
        <v>703</v>
      </c>
    </row>
    <row r="68" spans="2:17">
      <c r="B68" s="2" t="s">
        <v>15</v>
      </c>
      <c r="C68" s="7">
        <v>2078</v>
      </c>
      <c r="D68" s="7">
        <v>1897</v>
      </c>
      <c r="E68" s="7">
        <v>2046</v>
      </c>
      <c r="F68" s="7">
        <v>1983</v>
      </c>
      <c r="G68" s="7">
        <v>1879</v>
      </c>
      <c r="H68" s="7">
        <v>2007</v>
      </c>
      <c r="I68" s="7">
        <v>1947</v>
      </c>
      <c r="J68" s="7">
        <v>1965</v>
      </c>
      <c r="K68" s="7">
        <v>1957</v>
      </c>
      <c r="L68" s="7">
        <v>2183</v>
      </c>
      <c r="M68" s="7">
        <v>2262</v>
      </c>
      <c r="N68" s="70">
        <v>2199</v>
      </c>
      <c r="O68" s="7">
        <v>2345</v>
      </c>
      <c r="P68" s="7">
        <v>1985</v>
      </c>
      <c r="Q68" s="7">
        <v>1981</v>
      </c>
    </row>
    <row r="69" spans="2:17">
      <c r="B69" s="2" t="s">
        <v>14</v>
      </c>
      <c r="C69" s="7">
        <v>129</v>
      </c>
      <c r="D69" s="7">
        <v>129</v>
      </c>
      <c r="E69" s="7">
        <v>93</v>
      </c>
      <c r="F69" s="7">
        <v>22</v>
      </c>
      <c r="G69" s="7">
        <v>35</v>
      </c>
      <c r="H69" s="7">
        <v>25</v>
      </c>
      <c r="I69" s="7">
        <v>25</v>
      </c>
      <c r="J69" s="7">
        <v>25</v>
      </c>
      <c r="K69" s="7">
        <v>28</v>
      </c>
      <c r="L69" s="7">
        <v>21</v>
      </c>
      <c r="M69" s="7">
        <v>20</v>
      </c>
      <c r="N69" s="70">
        <v>136</v>
      </c>
      <c r="O69" s="7">
        <v>20</v>
      </c>
      <c r="P69" s="7">
        <v>37</v>
      </c>
      <c r="Q69" s="7">
        <v>22</v>
      </c>
    </row>
    <row r="70" spans="2:17">
      <c r="B70" s="2" t="s">
        <v>35</v>
      </c>
      <c r="C70" s="7">
        <v>2192</v>
      </c>
      <c r="D70" s="7">
        <v>2171</v>
      </c>
      <c r="E70" s="7">
        <v>2234</v>
      </c>
      <c r="F70" s="7">
        <v>2346</v>
      </c>
      <c r="G70" s="7">
        <v>2305</v>
      </c>
      <c r="H70" s="7">
        <v>2359</v>
      </c>
      <c r="I70" s="7">
        <v>2209</v>
      </c>
      <c r="J70" s="7">
        <v>2587</v>
      </c>
      <c r="K70" s="7">
        <v>2685</v>
      </c>
      <c r="L70" s="7">
        <v>2601</v>
      </c>
      <c r="M70" s="7">
        <v>2649</v>
      </c>
      <c r="N70" s="70">
        <v>2595</v>
      </c>
      <c r="O70" s="7">
        <v>2662</v>
      </c>
      <c r="P70" s="7">
        <v>2707</v>
      </c>
      <c r="Q70" s="7">
        <v>2720</v>
      </c>
    </row>
    <row r="71" spans="2:17">
      <c r="B71" s="2" t="s">
        <v>30</v>
      </c>
      <c r="C71" s="7">
        <v>1096</v>
      </c>
      <c r="D71" s="7">
        <v>1126</v>
      </c>
      <c r="E71" s="7">
        <v>1124</v>
      </c>
      <c r="F71" s="7">
        <v>1119</v>
      </c>
      <c r="G71" s="7">
        <v>1118</v>
      </c>
      <c r="H71" s="7">
        <v>1068</v>
      </c>
      <c r="I71" s="7">
        <v>1055</v>
      </c>
      <c r="J71" s="7">
        <v>1056</v>
      </c>
      <c r="K71" s="7">
        <v>1064</v>
      </c>
      <c r="L71" s="7">
        <v>1103</v>
      </c>
      <c r="M71" s="7">
        <v>1129</v>
      </c>
      <c r="N71" s="70">
        <v>1106</v>
      </c>
      <c r="O71" s="7">
        <v>1124</v>
      </c>
      <c r="P71" s="7">
        <v>1142</v>
      </c>
      <c r="Q71" s="7">
        <v>1121</v>
      </c>
    </row>
    <row r="72" spans="2:17">
      <c r="B72" s="2" t="s">
        <v>36</v>
      </c>
      <c r="C72" s="7">
        <v>288</v>
      </c>
      <c r="D72" s="7">
        <v>260</v>
      </c>
      <c r="E72" s="7">
        <v>263</v>
      </c>
      <c r="F72" s="7">
        <v>317</v>
      </c>
      <c r="G72" s="7">
        <v>313</v>
      </c>
      <c r="H72" s="7">
        <v>325</v>
      </c>
      <c r="I72" s="7">
        <v>321</v>
      </c>
      <c r="J72" s="7">
        <v>317</v>
      </c>
      <c r="K72" s="7">
        <v>332</v>
      </c>
      <c r="L72" s="7">
        <v>373</v>
      </c>
      <c r="M72" s="7">
        <v>363</v>
      </c>
      <c r="N72" s="70">
        <v>319</v>
      </c>
      <c r="O72" s="7">
        <v>324</v>
      </c>
      <c r="P72" s="7">
        <v>299</v>
      </c>
      <c r="Q72" s="7">
        <v>323</v>
      </c>
    </row>
    <row r="73" spans="2:17">
      <c r="B73" s="2" t="s">
        <v>9</v>
      </c>
      <c r="C73" s="7">
        <v>44</v>
      </c>
      <c r="D73" s="7">
        <v>24</v>
      </c>
      <c r="E73" s="7">
        <v>19</v>
      </c>
      <c r="F73" s="7">
        <v>10</v>
      </c>
      <c r="G73" s="7">
        <v>5</v>
      </c>
      <c r="H73" s="7">
        <v>29</v>
      </c>
      <c r="I73" s="7">
        <v>57</v>
      </c>
      <c r="J73" s="7">
        <v>207</v>
      </c>
      <c r="K73" s="7">
        <v>182</v>
      </c>
      <c r="L73" s="7">
        <v>176</v>
      </c>
      <c r="M73" s="7">
        <v>156</v>
      </c>
      <c r="N73" s="70">
        <v>161</v>
      </c>
      <c r="O73" s="7">
        <v>128</v>
      </c>
      <c r="P73" s="7">
        <v>92</v>
      </c>
      <c r="Q73" s="7">
        <v>88</v>
      </c>
    </row>
    <row r="74" spans="2:17">
      <c r="B74" s="2" t="s">
        <v>31</v>
      </c>
      <c r="C74" s="7">
        <v>971</v>
      </c>
      <c r="D74" s="7">
        <v>885</v>
      </c>
      <c r="E74" s="7">
        <v>577</v>
      </c>
      <c r="F74" s="7">
        <v>515</v>
      </c>
      <c r="G74" s="7">
        <v>457</v>
      </c>
      <c r="H74" s="7">
        <v>391</v>
      </c>
      <c r="I74" s="7">
        <v>333</v>
      </c>
      <c r="J74" s="7">
        <v>272</v>
      </c>
      <c r="K74" s="7">
        <v>212</v>
      </c>
      <c r="L74" s="7">
        <v>151</v>
      </c>
      <c r="M74" s="7">
        <v>89</v>
      </c>
      <c r="N74" s="70">
        <v>29</v>
      </c>
      <c r="O74" s="7">
        <v>0</v>
      </c>
      <c r="P74" s="7">
        <v>0</v>
      </c>
      <c r="Q74" s="7">
        <v>0</v>
      </c>
    </row>
    <row r="75" spans="2:17">
      <c r="B75" s="2" t="s">
        <v>32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628</v>
      </c>
      <c r="J75" s="7">
        <v>630</v>
      </c>
      <c r="K75" s="7">
        <v>638</v>
      </c>
      <c r="L75" s="7">
        <v>696</v>
      </c>
      <c r="M75" s="7">
        <v>699</v>
      </c>
      <c r="N75" s="70">
        <v>650</v>
      </c>
      <c r="O75" s="7">
        <v>649</v>
      </c>
      <c r="P75" s="7">
        <v>612</v>
      </c>
      <c r="Q75" s="7">
        <v>673</v>
      </c>
    </row>
    <row r="76" spans="2:17" s="16" customFormat="1">
      <c r="B76" s="2" t="s">
        <v>33</v>
      </c>
      <c r="C76" s="8">
        <v>240</v>
      </c>
      <c r="D76" s="8">
        <v>250</v>
      </c>
      <c r="E76" s="8">
        <v>564</v>
      </c>
      <c r="F76" s="7">
        <v>1503</v>
      </c>
      <c r="G76" s="7">
        <v>1411</v>
      </c>
      <c r="H76" s="7">
        <v>1409</v>
      </c>
      <c r="I76" s="7">
        <v>635</v>
      </c>
      <c r="J76" s="7">
        <v>656</v>
      </c>
      <c r="K76" s="7">
        <v>633</v>
      </c>
      <c r="L76" s="7">
        <v>647</v>
      </c>
      <c r="M76" s="7">
        <v>834</v>
      </c>
      <c r="N76" s="70">
        <v>924</v>
      </c>
      <c r="O76" s="7">
        <v>868</v>
      </c>
      <c r="P76" s="7">
        <v>806</v>
      </c>
      <c r="Q76" s="7">
        <v>803</v>
      </c>
    </row>
    <row r="77" spans="2:17" s="16" customFormat="1">
      <c r="C77" s="14">
        <f t="shared" ref="C77:O77" si="14">SUM(C65:C76)</f>
        <v>31706</v>
      </c>
      <c r="D77" s="14">
        <f t="shared" si="14"/>
        <v>30000</v>
      </c>
      <c r="E77" s="14">
        <f t="shared" si="14"/>
        <v>31122</v>
      </c>
      <c r="F77" s="14">
        <f t="shared" si="14"/>
        <v>30788</v>
      </c>
      <c r="G77" s="14">
        <f t="shared" si="14"/>
        <v>30449</v>
      </c>
      <c r="H77" s="14">
        <f t="shared" si="14"/>
        <v>31935</v>
      </c>
      <c r="I77" s="14">
        <f t="shared" si="14"/>
        <v>30317</v>
      </c>
      <c r="J77" s="14">
        <f t="shared" si="14"/>
        <v>29855</v>
      </c>
      <c r="K77" s="14">
        <f t="shared" si="14"/>
        <v>29107</v>
      </c>
      <c r="L77" s="14">
        <f t="shared" si="14"/>
        <v>31578</v>
      </c>
      <c r="M77" s="14">
        <f t="shared" si="14"/>
        <v>31099</v>
      </c>
      <c r="N77" s="79">
        <f t="shared" si="14"/>
        <v>27357</v>
      </c>
      <c r="O77" s="14">
        <f t="shared" si="14"/>
        <v>27383</v>
      </c>
      <c r="P77" s="14">
        <f t="shared" ref="P77:Q77" si="15">SUM(P65:P76)</f>
        <v>27028</v>
      </c>
      <c r="Q77" s="14">
        <f t="shared" si="15"/>
        <v>28446</v>
      </c>
    </row>
    <row r="78" spans="2:17">
      <c r="B78" s="1" t="s">
        <v>37</v>
      </c>
      <c r="C78" s="14">
        <f t="shared" ref="C78:O78" si="16">C63+C77</f>
        <v>40893</v>
      </c>
      <c r="D78" s="14">
        <f t="shared" si="16"/>
        <v>38495</v>
      </c>
      <c r="E78" s="14">
        <f t="shared" si="16"/>
        <v>39217</v>
      </c>
      <c r="F78" s="14">
        <f t="shared" si="16"/>
        <v>40775</v>
      </c>
      <c r="G78" s="14">
        <f t="shared" si="16"/>
        <v>39678</v>
      </c>
      <c r="H78" s="14">
        <f t="shared" si="16"/>
        <v>41770</v>
      </c>
      <c r="I78" s="14">
        <f t="shared" si="16"/>
        <v>40804</v>
      </c>
      <c r="J78" s="14">
        <f t="shared" si="16"/>
        <v>41854</v>
      </c>
      <c r="K78" s="14">
        <f t="shared" si="16"/>
        <v>40401</v>
      </c>
      <c r="L78" s="14">
        <f t="shared" si="16"/>
        <v>40648</v>
      </c>
      <c r="M78" s="14">
        <f t="shared" si="16"/>
        <v>42060</v>
      </c>
      <c r="N78" s="79">
        <f t="shared" si="16"/>
        <v>41592</v>
      </c>
      <c r="O78" s="14">
        <f t="shared" si="16"/>
        <v>37013</v>
      </c>
      <c r="P78" s="14">
        <f t="shared" ref="P78:Q78" si="17">P63+P77</f>
        <v>36490</v>
      </c>
      <c r="Q78" s="14">
        <f t="shared" si="17"/>
        <v>37599</v>
      </c>
    </row>
    <row r="79" spans="2:17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0"/>
      <c r="O79" s="7"/>
      <c r="P79" s="7"/>
      <c r="Q79" s="7"/>
    </row>
    <row r="80" spans="2:17">
      <c r="B80" s="1" t="s">
        <v>38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0"/>
      <c r="O80" s="7"/>
      <c r="P80" s="7"/>
      <c r="Q80" s="7"/>
    </row>
    <row r="81" spans="2:17">
      <c r="B81" s="2" t="s">
        <v>39</v>
      </c>
      <c r="C81" s="7">
        <v>28656</v>
      </c>
      <c r="D81" s="7">
        <v>28656</v>
      </c>
      <c r="E81" s="7">
        <v>28656</v>
      </c>
      <c r="F81" s="7">
        <v>28656</v>
      </c>
      <c r="G81" s="7">
        <v>28656</v>
      </c>
      <c r="H81" s="7">
        <v>28656</v>
      </c>
      <c r="I81" s="7">
        <v>28656</v>
      </c>
      <c r="J81" s="7">
        <v>28656</v>
      </c>
      <c r="K81" s="7">
        <v>28656</v>
      </c>
      <c r="L81" s="7">
        <v>28656</v>
      </c>
      <c r="M81" s="7">
        <v>28656</v>
      </c>
      <c r="N81" s="70">
        <v>28656</v>
      </c>
      <c r="O81" s="7">
        <v>28656</v>
      </c>
      <c r="P81" s="7">
        <v>28656</v>
      </c>
      <c r="Q81" s="7">
        <v>28656</v>
      </c>
    </row>
    <row r="82" spans="2:17">
      <c r="B82" s="2" t="s">
        <v>40</v>
      </c>
      <c r="C82" s="7">
        <v>7436</v>
      </c>
      <c r="D82" s="7">
        <v>7549</v>
      </c>
      <c r="E82" s="7">
        <v>7549</v>
      </c>
      <c r="F82" s="7">
        <v>6254</v>
      </c>
      <c r="G82" s="7">
        <v>6241</v>
      </c>
      <c r="H82" s="7">
        <v>6121</v>
      </c>
      <c r="I82" s="7">
        <v>6119</v>
      </c>
      <c r="J82" s="7">
        <v>6569</v>
      </c>
      <c r="K82" s="7">
        <v>6069</v>
      </c>
      <c r="L82" s="7">
        <v>6181</v>
      </c>
      <c r="M82" s="7">
        <v>5925</v>
      </c>
      <c r="N82" s="70">
        <v>7088</v>
      </c>
      <c r="O82" s="7">
        <v>6048</v>
      </c>
      <c r="P82" s="7">
        <v>6028</v>
      </c>
      <c r="Q82" s="7">
        <v>6028</v>
      </c>
    </row>
    <row r="83" spans="2:17">
      <c r="B83" s="2" t="s">
        <v>85</v>
      </c>
      <c r="C83" s="7">
        <v>148</v>
      </c>
      <c r="D83" s="7">
        <v>402</v>
      </c>
      <c r="E83" s="7">
        <v>505</v>
      </c>
      <c r="F83" s="7">
        <v>0</v>
      </c>
      <c r="G83" s="18">
        <v>-573</v>
      </c>
      <c r="H83" s="7">
        <v>10</v>
      </c>
      <c r="I83" s="7">
        <v>479</v>
      </c>
      <c r="J83" s="7">
        <v>0</v>
      </c>
      <c r="K83" s="18">
        <v>-322</v>
      </c>
      <c r="L83" s="18">
        <v>-228</v>
      </c>
      <c r="M83" s="18">
        <v>-44</v>
      </c>
      <c r="N83" s="70">
        <v>0</v>
      </c>
      <c r="O83" s="7">
        <v>4388</v>
      </c>
      <c r="P83" s="7">
        <v>4577</v>
      </c>
      <c r="Q83" s="7">
        <v>4487</v>
      </c>
    </row>
    <row r="84" spans="2:17" s="16" customFormat="1">
      <c r="B84" s="2" t="s">
        <v>41</v>
      </c>
      <c r="C84" s="7">
        <v>1962</v>
      </c>
      <c r="D84" s="7">
        <v>1157</v>
      </c>
      <c r="E84" s="7">
        <v>1247</v>
      </c>
      <c r="F84" s="7">
        <v>1255</v>
      </c>
      <c r="G84" s="7">
        <v>831</v>
      </c>
      <c r="H84" s="7">
        <v>1412</v>
      </c>
      <c r="I84" s="7">
        <v>931</v>
      </c>
      <c r="J84" s="7">
        <v>733</v>
      </c>
      <c r="K84" s="7">
        <v>873</v>
      </c>
      <c r="L84" s="7">
        <v>1771</v>
      </c>
      <c r="M84" s="7">
        <v>1765</v>
      </c>
      <c r="N84" s="70">
        <v>1475</v>
      </c>
      <c r="O84" s="7">
        <v>1907</v>
      </c>
      <c r="P84" s="7">
        <v>1009</v>
      </c>
      <c r="Q84" s="7">
        <v>1604</v>
      </c>
    </row>
    <row r="85" spans="2:17">
      <c r="B85" s="1" t="s">
        <v>42</v>
      </c>
      <c r="C85" s="17">
        <f t="shared" ref="C85:O85" si="18">SUM(C81:C84)</f>
        <v>38202</v>
      </c>
      <c r="D85" s="17">
        <f t="shared" si="18"/>
        <v>37764</v>
      </c>
      <c r="E85" s="17">
        <f t="shared" si="18"/>
        <v>37957</v>
      </c>
      <c r="F85" s="17">
        <f t="shared" si="18"/>
        <v>36165</v>
      </c>
      <c r="G85" s="17">
        <f t="shared" si="18"/>
        <v>35155</v>
      </c>
      <c r="H85" s="17">
        <f t="shared" si="18"/>
        <v>36199</v>
      </c>
      <c r="I85" s="17">
        <f t="shared" si="18"/>
        <v>36185</v>
      </c>
      <c r="J85" s="17">
        <f t="shared" si="18"/>
        <v>35958</v>
      </c>
      <c r="K85" s="17">
        <f t="shared" si="18"/>
        <v>35276</v>
      </c>
      <c r="L85" s="17">
        <f t="shared" si="18"/>
        <v>36380</v>
      </c>
      <c r="M85" s="17">
        <f t="shared" si="18"/>
        <v>36302</v>
      </c>
      <c r="N85" s="87">
        <f t="shared" si="18"/>
        <v>37219</v>
      </c>
      <c r="O85" s="17">
        <f t="shared" si="18"/>
        <v>40999</v>
      </c>
      <c r="P85" s="17">
        <f t="shared" ref="P85:Q85" si="19">SUM(P81:P84)</f>
        <v>40270</v>
      </c>
      <c r="Q85" s="17">
        <f t="shared" si="19"/>
        <v>40775</v>
      </c>
    </row>
    <row r="86" spans="2:17">
      <c r="B86" s="2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0"/>
      <c r="O86" s="7"/>
      <c r="P86" s="7"/>
      <c r="Q86" s="7"/>
    </row>
    <row r="87" spans="2:17">
      <c r="B87" s="2" t="s">
        <v>43</v>
      </c>
      <c r="C87" s="7">
        <v>3772</v>
      </c>
      <c r="D87" s="7">
        <v>2896</v>
      </c>
      <c r="E87" s="7">
        <v>2984</v>
      </c>
      <c r="F87" s="7">
        <v>2658</v>
      </c>
      <c r="G87" s="7">
        <v>2680</v>
      </c>
      <c r="H87" s="7">
        <v>2719</v>
      </c>
      <c r="I87" s="7">
        <v>2442</v>
      </c>
      <c r="J87" s="7">
        <v>4857</v>
      </c>
      <c r="K87" s="7">
        <v>4890</v>
      </c>
      <c r="L87" s="7">
        <v>5550</v>
      </c>
      <c r="M87" s="7">
        <v>5759</v>
      </c>
      <c r="N87" s="70">
        <v>5623</v>
      </c>
      <c r="O87" s="7">
        <v>5505</v>
      </c>
      <c r="P87" s="7">
        <v>5392</v>
      </c>
      <c r="Q87" s="7">
        <v>5563</v>
      </c>
    </row>
    <row r="88" spans="2:17" s="16" customFormat="1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0"/>
      <c r="O88" s="7"/>
      <c r="P88" s="7"/>
      <c r="Q88" s="7"/>
    </row>
    <row r="89" spans="2:17">
      <c r="B89" s="1" t="s">
        <v>187</v>
      </c>
      <c r="C89" s="14">
        <f t="shared" ref="C89:O89" si="20">C85+C87</f>
        <v>41974</v>
      </c>
      <c r="D89" s="14">
        <f t="shared" si="20"/>
        <v>40660</v>
      </c>
      <c r="E89" s="14">
        <f t="shared" si="20"/>
        <v>40941</v>
      </c>
      <c r="F89" s="14">
        <f t="shared" si="20"/>
        <v>38823</v>
      </c>
      <c r="G89" s="14">
        <f t="shared" si="20"/>
        <v>37835</v>
      </c>
      <c r="H89" s="14">
        <f t="shared" si="20"/>
        <v>38918</v>
      </c>
      <c r="I89" s="14">
        <f t="shared" si="20"/>
        <v>38627</v>
      </c>
      <c r="J89" s="14">
        <f t="shared" si="20"/>
        <v>40815</v>
      </c>
      <c r="K89" s="14">
        <f t="shared" si="20"/>
        <v>40166</v>
      </c>
      <c r="L89" s="14">
        <f t="shared" si="20"/>
        <v>41930</v>
      </c>
      <c r="M89" s="14">
        <f t="shared" si="20"/>
        <v>42061</v>
      </c>
      <c r="N89" s="79">
        <f t="shared" si="20"/>
        <v>42842</v>
      </c>
      <c r="O89" s="14">
        <f t="shared" si="20"/>
        <v>46504</v>
      </c>
      <c r="P89" s="14">
        <f t="shared" ref="P89:Q89" si="21">P85+P87</f>
        <v>45662</v>
      </c>
      <c r="Q89" s="14">
        <f t="shared" si="21"/>
        <v>46338</v>
      </c>
    </row>
    <row r="90" spans="2:17" s="16" customFormat="1">
      <c r="B90" s="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0"/>
      <c r="O90" s="7"/>
      <c r="P90" s="7"/>
      <c r="Q90" s="7"/>
    </row>
    <row r="91" spans="2:17" ht="15.75" thickBot="1">
      <c r="B91" s="1" t="s">
        <v>44</v>
      </c>
      <c r="C91" s="15">
        <f t="shared" ref="C91:O91" si="22">C89+C78</f>
        <v>82867</v>
      </c>
      <c r="D91" s="15">
        <f t="shared" si="22"/>
        <v>79155</v>
      </c>
      <c r="E91" s="15">
        <f t="shared" si="22"/>
        <v>80158</v>
      </c>
      <c r="F91" s="15">
        <f t="shared" si="22"/>
        <v>79598</v>
      </c>
      <c r="G91" s="15">
        <f t="shared" si="22"/>
        <v>77513</v>
      </c>
      <c r="H91" s="15">
        <f t="shared" si="22"/>
        <v>80688</v>
      </c>
      <c r="I91" s="15">
        <f t="shared" si="22"/>
        <v>79431</v>
      </c>
      <c r="J91" s="15">
        <f t="shared" si="22"/>
        <v>82669</v>
      </c>
      <c r="K91" s="15">
        <f t="shared" si="22"/>
        <v>80567</v>
      </c>
      <c r="L91" s="15">
        <f t="shared" si="22"/>
        <v>82578</v>
      </c>
      <c r="M91" s="15">
        <f t="shared" si="22"/>
        <v>84121</v>
      </c>
      <c r="N91" s="81">
        <f t="shared" si="22"/>
        <v>84434</v>
      </c>
      <c r="O91" s="15">
        <f t="shared" si="22"/>
        <v>83517</v>
      </c>
      <c r="P91" s="15">
        <f t="shared" ref="P91:Q91" si="23">P89+P78</f>
        <v>82152</v>
      </c>
      <c r="Q91" s="15">
        <f t="shared" si="23"/>
        <v>83937</v>
      </c>
    </row>
    <row r="92" spans="2:17" ht="15.75" thickTop="1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0"/>
    </row>
    <row r="93" spans="2:17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0"/>
    </row>
    <row r="94" spans="2:17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0"/>
    </row>
    <row r="95" spans="2:17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0"/>
    </row>
    <row r="96" spans="2:17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0"/>
    </row>
    <row r="97" spans="3:14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0"/>
    </row>
    <row r="98" spans="3:14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0"/>
    </row>
    <row r="99" spans="3:14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0"/>
    </row>
    <row r="100" spans="3:14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0"/>
    </row>
    <row r="101" spans="3:14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0"/>
    </row>
    <row r="102" spans="3:14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0"/>
    </row>
    <row r="103" spans="3:14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0"/>
    </row>
    <row r="104" spans="3:14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0"/>
    </row>
    <row r="105" spans="3:14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0"/>
    </row>
    <row r="106" spans="3:14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0"/>
    </row>
    <row r="107" spans="3:14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0"/>
    </row>
    <row r="108" spans="3:14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0"/>
    </row>
    <row r="109" spans="3:14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0"/>
    </row>
    <row r="110" spans="3:14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0"/>
    </row>
    <row r="111" spans="3:14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0"/>
    </row>
    <row r="112" spans="3:14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0"/>
    </row>
    <row r="113" spans="3:14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0"/>
    </row>
    <row r="114" spans="3:14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0"/>
    </row>
    <row r="115" spans="3:14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0"/>
    </row>
    <row r="116" spans="3:14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0"/>
    </row>
    <row r="117" spans="3:14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0"/>
    </row>
  </sheetData>
  <mergeCells count="4">
    <mergeCell ref="C4:F5"/>
    <mergeCell ref="G4:J5"/>
    <mergeCell ref="K4:N5"/>
    <mergeCell ref="O4:Q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T53"/>
  <sheetViews>
    <sheetView showGridLines="0" workbookViewId="0">
      <pane xSplit="2" ySplit="6" topLeftCell="P7" activePane="bottomRight" state="frozen"/>
      <selection activeCell="Q47" sqref="Q47"/>
      <selection pane="topRight" activeCell="Q47" sqref="Q47"/>
      <selection pane="bottomLeft" activeCell="Q47" sqref="Q47"/>
      <selection pane="bottomRight" activeCell="S14" sqref="S14"/>
    </sheetView>
  </sheetViews>
  <sheetFormatPr defaultRowHeight="15"/>
  <cols>
    <col min="1" max="1" width="3.42578125" customWidth="1"/>
    <col min="2" max="2" width="83.42578125" bestFit="1" customWidth="1"/>
    <col min="3" max="13" width="18" customWidth="1"/>
    <col min="14" max="14" width="18" style="71" customWidth="1"/>
    <col min="15" max="20" width="18" customWidth="1"/>
  </cols>
  <sheetData>
    <row r="4" spans="2:20" ht="15" customHeight="1">
      <c r="B4" s="3"/>
      <c r="C4" s="107" t="s">
        <v>49</v>
      </c>
      <c r="D4" s="107"/>
      <c r="E4" s="107"/>
      <c r="F4" s="107"/>
      <c r="G4" s="107"/>
      <c r="H4" s="107" t="s">
        <v>54</v>
      </c>
      <c r="I4" s="107"/>
      <c r="J4" s="107"/>
      <c r="K4" s="107"/>
      <c r="L4" s="107"/>
      <c r="M4" s="108" t="s">
        <v>56</v>
      </c>
      <c r="N4" s="108"/>
      <c r="O4" s="108"/>
      <c r="P4" s="108"/>
      <c r="Q4" s="108"/>
      <c r="R4" s="109">
        <v>2019</v>
      </c>
      <c r="S4" s="109"/>
      <c r="T4" s="109"/>
    </row>
    <row r="5" spans="2:20" ht="15.75">
      <c r="B5" s="4" t="s">
        <v>179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8"/>
      <c r="N5" s="108"/>
      <c r="O5" s="108"/>
      <c r="P5" s="108"/>
      <c r="Q5" s="108"/>
      <c r="R5" s="109"/>
      <c r="S5" s="109"/>
      <c r="T5" s="109"/>
    </row>
    <row r="6" spans="2:20" ht="15.75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6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174</v>
      </c>
      <c r="N6" s="6" t="s">
        <v>175</v>
      </c>
      <c r="O6" s="6" t="s">
        <v>176</v>
      </c>
      <c r="P6" s="6" t="s">
        <v>55</v>
      </c>
      <c r="Q6" s="41" t="s">
        <v>56</v>
      </c>
      <c r="R6" s="6" t="s">
        <v>185</v>
      </c>
      <c r="S6" s="6" t="s">
        <v>188</v>
      </c>
      <c r="T6" s="6" t="s">
        <v>193</v>
      </c>
    </row>
    <row r="7" spans="2:20">
      <c r="B7" s="12" t="s">
        <v>57</v>
      </c>
      <c r="G7" s="43"/>
      <c r="L7" s="43"/>
      <c r="Q7" s="65"/>
    </row>
    <row r="8" spans="2:20">
      <c r="B8" s="2" t="s">
        <v>58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44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44">
        <v>26799</v>
      </c>
      <c r="M8" s="7">
        <v>6416</v>
      </c>
      <c r="N8" s="70">
        <v>7799</v>
      </c>
      <c r="O8" s="7">
        <v>8647</v>
      </c>
      <c r="P8" s="7">
        <f>Q8-O8-N8-M8</f>
        <v>9086</v>
      </c>
      <c r="Q8" s="44">
        <v>31948</v>
      </c>
      <c r="R8" s="7">
        <v>6720</v>
      </c>
      <c r="S8" s="7">
        <v>7853</v>
      </c>
      <c r="T8" s="88">
        <v>8268</v>
      </c>
    </row>
    <row r="9" spans="2:20">
      <c r="B9" s="2" t="s">
        <v>59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45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45">
        <v>-21171</v>
      </c>
      <c r="M9" s="19">
        <v>-5214</v>
      </c>
      <c r="N9" s="80">
        <v>-6218</v>
      </c>
      <c r="O9" s="19">
        <v>-6941</v>
      </c>
      <c r="P9" s="19">
        <f>Q9-O9-N9-M9</f>
        <v>-7536</v>
      </c>
      <c r="Q9" s="45">
        <v>-25909</v>
      </c>
      <c r="R9" s="19">
        <v>-5838</v>
      </c>
      <c r="S9" s="19">
        <f>-6423-24</f>
        <v>-6447</v>
      </c>
      <c r="T9" s="89">
        <v>-6930</v>
      </c>
    </row>
    <row r="10" spans="2:20">
      <c r="B10" s="12" t="s">
        <v>60</v>
      </c>
      <c r="C10" s="13">
        <f t="shared" ref="C10:R10" si="0">SUM(C8:C9)</f>
        <v>1150</v>
      </c>
      <c r="D10" s="13">
        <f t="shared" si="0"/>
        <v>1679</v>
      </c>
      <c r="E10" s="13">
        <f t="shared" si="0"/>
        <v>1664</v>
      </c>
      <c r="F10" s="13">
        <f t="shared" si="0"/>
        <v>1462</v>
      </c>
      <c r="G10" s="46">
        <f t="shared" si="0"/>
        <v>5955</v>
      </c>
      <c r="H10" s="13">
        <f t="shared" si="0"/>
        <v>965</v>
      </c>
      <c r="I10" s="13">
        <f t="shared" si="0"/>
        <v>1274</v>
      </c>
      <c r="J10" s="13">
        <f t="shared" si="0"/>
        <v>1697</v>
      </c>
      <c r="K10" s="13">
        <f t="shared" si="0"/>
        <v>1692</v>
      </c>
      <c r="L10" s="46">
        <f t="shared" si="0"/>
        <v>5628</v>
      </c>
      <c r="M10" s="13">
        <f t="shared" si="0"/>
        <v>1202</v>
      </c>
      <c r="N10" s="82">
        <f t="shared" si="0"/>
        <v>1581</v>
      </c>
      <c r="O10" s="13">
        <f t="shared" si="0"/>
        <v>1706</v>
      </c>
      <c r="P10" s="13">
        <f t="shared" si="0"/>
        <v>1550</v>
      </c>
      <c r="Q10" s="46">
        <f t="shared" si="0"/>
        <v>6039</v>
      </c>
      <c r="R10" s="13">
        <f t="shared" si="0"/>
        <v>882</v>
      </c>
      <c r="S10" s="13">
        <f t="shared" ref="S10:T10" si="1">SUM(S8:S9)</f>
        <v>1406</v>
      </c>
      <c r="T10" s="90">
        <f t="shared" si="1"/>
        <v>1338</v>
      </c>
    </row>
    <row r="11" spans="2:20">
      <c r="B11" s="2"/>
      <c r="C11" s="7"/>
      <c r="D11" s="7"/>
      <c r="E11" s="7"/>
      <c r="F11" s="7"/>
      <c r="G11" s="44"/>
      <c r="H11" s="7"/>
      <c r="I11" s="7"/>
      <c r="J11" s="7"/>
      <c r="K11" s="7"/>
      <c r="L11" s="44"/>
      <c r="M11" s="7"/>
      <c r="N11" s="70"/>
      <c r="O11" s="7"/>
      <c r="P11" s="7"/>
      <c r="Q11" s="44"/>
      <c r="R11" s="7"/>
      <c r="S11" s="7"/>
      <c r="T11" s="88"/>
    </row>
    <row r="12" spans="2:20">
      <c r="B12" s="1" t="s">
        <v>61</v>
      </c>
      <c r="C12" s="7"/>
      <c r="D12" s="7"/>
      <c r="E12" s="7"/>
      <c r="F12" s="7"/>
      <c r="G12" s="44"/>
      <c r="H12" s="7"/>
      <c r="I12" s="7"/>
      <c r="J12" s="7"/>
      <c r="K12" s="7"/>
      <c r="L12" s="44"/>
      <c r="M12" s="7"/>
      <c r="N12" s="70"/>
      <c r="O12" s="7"/>
      <c r="P12" s="7"/>
      <c r="Q12" s="44"/>
      <c r="R12" s="7"/>
      <c r="S12" s="7"/>
      <c r="T12" s="88"/>
    </row>
    <row r="13" spans="2:20">
      <c r="B13" s="2" t="s">
        <v>62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2">G13-E13-D13-C13</f>
        <v>-414</v>
      </c>
      <c r="G13" s="47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3">L13-J13-I13-H13</f>
        <v>-185</v>
      </c>
      <c r="L13" s="47">
        <v>-701</v>
      </c>
      <c r="M13" s="20">
        <v>-180</v>
      </c>
      <c r="N13" s="35">
        <v>-195</v>
      </c>
      <c r="O13" s="20">
        <v>-168</v>
      </c>
      <c r="P13" s="20">
        <f t="shared" ref="P13:P15" si="4">Q13-O13-N13-M13</f>
        <v>-232</v>
      </c>
      <c r="Q13" s="47">
        <v>-775</v>
      </c>
      <c r="R13" s="20">
        <v>-214</v>
      </c>
      <c r="S13" s="20">
        <f>-219+1</f>
        <v>-218</v>
      </c>
      <c r="T13" s="91">
        <v>-226</v>
      </c>
    </row>
    <row r="14" spans="2:20">
      <c r="B14" s="2" t="s">
        <v>63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2"/>
        <v>-608</v>
      </c>
      <c r="G14" s="47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3"/>
        <v>-570</v>
      </c>
      <c r="L14" s="47">
        <v>-2013</v>
      </c>
      <c r="M14" s="20">
        <v>-464</v>
      </c>
      <c r="N14" s="35">
        <v>-491</v>
      </c>
      <c r="O14" s="20">
        <v>-543</v>
      </c>
      <c r="P14" s="20">
        <f t="shared" si="4"/>
        <v>-675</v>
      </c>
      <c r="Q14" s="47">
        <v>-2173</v>
      </c>
      <c r="R14" s="20">
        <v>-533</v>
      </c>
      <c r="S14" s="20">
        <f>-571+23</f>
        <v>-548</v>
      </c>
      <c r="T14" s="91">
        <v>-614</v>
      </c>
    </row>
    <row r="15" spans="2:20">
      <c r="B15" s="2" t="s">
        <v>64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2"/>
        <v>-2586</v>
      </c>
      <c r="G15" s="48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3"/>
        <v>87</v>
      </c>
      <c r="L15" s="48">
        <v>-553</v>
      </c>
      <c r="M15" s="22">
        <v>-56</v>
      </c>
      <c r="N15" s="70">
        <v>167</v>
      </c>
      <c r="O15" s="22">
        <v>-230</v>
      </c>
      <c r="P15" s="7">
        <f t="shared" si="4"/>
        <v>669</v>
      </c>
      <c r="Q15" s="52">
        <v>550</v>
      </c>
      <c r="R15" s="32">
        <v>6994</v>
      </c>
      <c r="S15" s="22">
        <v>-130</v>
      </c>
      <c r="T15" s="92">
        <v>-735</v>
      </c>
    </row>
    <row r="16" spans="2:20">
      <c r="B16" s="2"/>
      <c r="C16" s="19">
        <f t="shared" ref="C16:R16" si="5">SUM(C12:C15)</f>
        <v>-652</v>
      </c>
      <c r="D16" s="21">
        <f t="shared" si="5"/>
        <v>-1073</v>
      </c>
      <c r="E16" s="21">
        <f t="shared" si="5"/>
        <v>-1013</v>
      </c>
      <c r="F16" s="21">
        <f t="shared" si="5"/>
        <v>-3608</v>
      </c>
      <c r="G16" s="49">
        <f t="shared" si="5"/>
        <v>-6346</v>
      </c>
      <c r="H16" s="21">
        <f t="shared" si="5"/>
        <v>-981</v>
      </c>
      <c r="I16" s="21">
        <f t="shared" si="5"/>
        <v>-523</v>
      </c>
      <c r="J16" s="21">
        <f t="shared" si="5"/>
        <v>-1095</v>
      </c>
      <c r="K16" s="21">
        <f t="shared" si="5"/>
        <v>-668</v>
      </c>
      <c r="L16" s="49">
        <f t="shared" si="5"/>
        <v>-3267</v>
      </c>
      <c r="M16" s="21">
        <f t="shared" si="5"/>
        <v>-700</v>
      </c>
      <c r="N16" s="83">
        <f t="shared" si="5"/>
        <v>-519</v>
      </c>
      <c r="O16" s="21">
        <f t="shared" si="5"/>
        <v>-941</v>
      </c>
      <c r="P16" s="21">
        <f t="shared" si="5"/>
        <v>-238</v>
      </c>
      <c r="Q16" s="49">
        <f t="shared" si="5"/>
        <v>-2398</v>
      </c>
      <c r="R16" s="8">
        <f t="shared" si="5"/>
        <v>6247</v>
      </c>
      <c r="S16" s="21">
        <f t="shared" ref="S16:T16" si="6">SUM(S12:S15)</f>
        <v>-896</v>
      </c>
      <c r="T16" s="93">
        <f t="shared" si="6"/>
        <v>-1575</v>
      </c>
    </row>
    <row r="17" spans="2:20">
      <c r="B17" s="12" t="s">
        <v>65</v>
      </c>
      <c r="C17" s="14">
        <f t="shared" ref="C17:R17" si="7">C10+C16</f>
        <v>498</v>
      </c>
      <c r="D17" s="14">
        <f t="shared" si="7"/>
        <v>606</v>
      </c>
      <c r="E17" s="14">
        <f t="shared" si="7"/>
        <v>651</v>
      </c>
      <c r="F17" s="24">
        <f t="shared" si="7"/>
        <v>-2146</v>
      </c>
      <c r="G17" s="50">
        <f t="shared" si="7"/>
        <v>-391</v>
      </c>
      <c r="H17" s="24">
        <f t="shared" si="7"/>
        <v>-16</v>
      </c>
      <c r="I17" s="14">
        <f t="shared" si="7"/>
        <v>751</v>
      </c>
      <c r="J17" s="14">
        <f t="shared" si="7"/>
        <v>602</v>
      </c>
      <c r="K17" s="14">
        <f t="shared" si="7"/>
        <v>1024</v>
      </c>
      <c r="L17" s="57">
        <f t="shared" si="7"/>
        <v>2361</v>
      </c>
      <c r="M17" s="14">
        <f t="shared" si="7"/>
        <v>502</v>
      </c>
      <c r="N17" s="79">
        <f t="shared" si="7"/>
        <v>1062</v>
      </c>
      <c r="O17" s="14">
        <f t="shared" si="7"/>
        <v>765</v>
      </c>
      <c r="P17" s="14">
        <f t="shared" si="7"/>
        <v>1312</v>
      </c>
      <c r="Q17" s="57">
        <f t="shared" si="7"/>
        <v>3641</v>
      </c>
      <c r="R17" s="14">
        <f t="shared" si="7"/>
        <v>7129</v>
      </c>
      <c r="S17" s="14">
        <f t="shared" ref="S17:T17" si="8">S10+S16</f>
        <v>510</v>
      </c>
      <c r="T17" s="94">
        <f t="shared" si="8"/>
        <v>-237</v>
      </c>
    </row>
    <row r="18" spans="2:20">
      <c r="B18" s="2"/>
      <c r="C18" s="11"/>
      <c r="D18" s="11"/>
      <c r="E18" s="11"/>
      <c r="F18" s="11"/>
      <c r="G18" s="51"/>
      <c r="H18" s="11"/>
      <c r="I18" s="11"/>
      <c r="J18" s="11"/>
      <c r="K18" s="11"/>
      <c r="L18" s="51"/>
      <c r="M18" s="11"/>
      <c r="N18" s="84"/>
      <c r="O18" s="11"/>
      <c r="P18" s="11"/>
      <c r="Q18" s="51"/>
      <c r="R18" s="11"/>
      <c r="S18" s="11"/>
      <c r="T18" s="95"/>
    </row>
    <row r="19" spans="2:20">
      <c r="B19" s="1" t="s">
        <v>66</v>
      </c>
      <c r="C19" s="7"/>
      <c r="D19" s="7"/>
      <c r="E19" s="7"/>
      <c r="F19" s="7"/>
      <c r="G19" s="44"/>
      <c r="H19" s="7"/>
      <c r="I19" s="7"/>
      <c r="J19" s="7"/>
      <c r="K19" s="7"/>
      <c r="L19" s="44"/>
      <c r="M19" s="7"/>
      <c r="N19" s="70"/>
      <c r="O19" s="7"/>
      <c r="P19" s="7"/>
      <c r="Q19" s="44"/>
      <c r="R19" s="7"/>
      <c r="S19" s="7"/>
      <c r="T19" s="88"/>
    </row>
    <row r="20" spans="2:20">
      <c r="B20" s="2" t="s">
        <v>67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9">G20-E20-D20-C20</f>
        <v>166</v>
      </c>
      <c r="G20" s="44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10">L20-J20-I20-H20</f>
        <v>288</v>
      </c>
      <c r="L20" s="44">
        <v>1219</v>
      </c>
      <c r="M20" s="7">
        <v>389</v>
      </c>
      <c r="N20" s="70">
        <v>115</v>
      </c>
      <c r="O20" s="7">
        <f>562-N20-M20</f>
        <v>58</v>
      </c>
      <c r="P20" s="7">
        <f t="shared" ref="P20:P22" si="11">Q20-O20-N20-M20</f>
        <v>252</v>
      </c>
      <c r="Q20" s="44">
        <v>814</v>
      </c>
      <c r="R20" s="7">
        <v>89</v>
      </c>
      <c r="S20" s="7">
        <v>215</v>
      </c>
      <c r="T20" s="88">
        <v>41</v>
      </c>
    </row>
    <row r="21" spans="2:20">
      <c r="B21" s="2" t="s">
        <v>68</v>
      </c>
      <c r="C21" s="7">
        <v>0</v>
      </c>
      <c r="D21" s="7">
        <v>0</v>
      </c>
      <c r="E21" s="7">
        <v>0</v>
      </c>
      <c r="F21" s="7">
        <f t="shared" si="9"/>
        <v>0</v>
      </c>
      <c r="G21" s="44">
        <v>0</v>
      </c>
      <c r="H21" s="7">
        <v>0</v>
      </c>
      <c r="I21" s="7">
        <v>0</v>
      </c>
      <c r="J21" s="7">
        <v>0</v>
      </c>
      <c r="K21" s="7">
        <f t="shared" si="10"/>
        <v>0</v>
      </c>
      <c r="L21" s="44">
        <v>0</v>
      </c>
      <c r="M21" s="7">
        <v>0</v>
      </c>
      <c r="N21" s="70">
        <v>0</v>
      </c>
      <c r="O21" s="7">
        <v>0</v>
      </c>
      <c r="P21" s="7">
        <f t="shared" si="11"/>
        <v>820</v>
      </c>
      <c r="Q21" s="44">
        <v>820</v>
      </c>
      <c r="R21" s="7">
        <v>0</v>
      </c>
      <c r="S21" s="7">
        <v>0</v>
      </c>
      <c r="T21" s="88">
        <v>0</v>
      </c>
    </row>
    <row r="22" spans="2:20">
      <c r="B22" s="2" t="s">
        <v>69</v>
      </c>
      <c r="C22" s="8">
        <v>44</v>
      </c>
      <c r="D22" s="8">
        <f>44-C22</f>
        <v>0</v>
      </c>
      <c r="E22" s="8">
        <v>0</v>
      </c>
      <c r="F22" s="8">
        <f t="shared" si="9"/>
        <v>0</v>
      </c>
      <c r="G22" s="52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10"/>
        <v>0</v>
      </c>
      <c r="L22" s="52">
        <v>3</v>
      </c>
      <c r="M22" s="8">
        <v>0</v>
      </c>
      <c r="N22" s="85">
        <f>0-M22</f>
        <v>0</v>
      </c>
      <c r="O22" s="8">
        <f>0-N22-M22</f>
        <v>0</v>
      </c>
      <c r="P22" s="8">
        <f t="shared" si="11"/>
        <v>4</v>
      </c>
      <c r="Q22" s="52">
        <v>4</v>
      </c>
      <c r="R22" s="8">
        <v>0</v>
      </c>
      <c r="S22" s="8">
        <v>108</v>
      </c>
      <c r="T22" s="92">
        <v>0</v>
      </c>
    </row>
    <row r="23" spans="2:20">
      <c r="B23" s="2"/>
      <c r="C23" s="9">
        <f t="shared" ref="C23:R23" si="12">SUM(C20:C22)</f>
        <v>335</v>
      </c>
      <c r="D23" s="9">
        <f t="shared" si="12"/>
        <v>295</v>
      </c>
      <c r="E23" s="23">
        <f t="shared" si="12"/>
        <v>-28</v>
      </c>
      <c r="F23" s="9">
        <f t="shared" si="12"/>
        <v>166</v>
      </c>
      <c r="G23" s="53">
        <f t="shared" si="12"/>
        <v>768</v>
      </c>
      <c r="H23" s="9">
        <f t="shared" si="12"/>
        <v>138</v>
      </c>
      <c r="I23" s="9">
        <f t="shared" si="12"/>
        <v>349</v>
      </c>
      <c r="J23" s="9">
        <f t="shared" si="12"/>
        <v>447</v>
      </c>
      <c r="K23" s="9">
        <f t="shared" si="12"/>
        <v>288</v>
      </c>
      <c r="L23" s="53">
        <f t="shared" si="12"/>
        <v>1222</v>
      </c>
      <c r="M23" s="9">
        <f t="shared" si="12"/>
        <v>389</v>
      </c>
      <c r="N23" s="78">
        <f t="shared" si="12"/>
        <v>115</v>
      </c>
      <c r="O23" s="9">
        <f t="shared" si="12"/>
        <v>58</v>
      </c>
      <c r="P23" s="9">
        <f t="shared" si="12"/>
        <v>1076</v>
      </c>
      <c r="Q23" s="53">
        <f t="shared" si="12"/>
        <v>1638</v>
      </c>
      <c r="R23" s="9">
        <f t="shared" si="12"/>
        <v>89</v>
      </c>
      <c r="S23" s="9">
        <f t="shared" ref="S23:T23" si="13">SUM(S20:S22)</f>
        <v>323</v>
      </c>
      <c r="T23" s="91">
        <f t="shared" si="13"/>
        <v>41</v>
      </c>
    </row>
    <row r="24" spans="2:20">
      <c r="B24" s="1" t="s">
        <v>70</v>
      </c>
      <c r="C24" s="7"/>
      <c r="D24" s="7"/>
      <c r="E24" s="7"/>
      <c r="F24" s="7"/>
      <c r="G24" s="44"/>
      <c r="H24" s="7"/>
      <c r="I24" s="7"/>
      <c r="J24" s="7"/>
      <c r="K24" s="7"/>
      <c r="L24" s="44"/>
      <c r="M24" s="7"/>
      <c r="N24" s="70"/>
      <c r="O24" s="7"/>
      <c r="P24" s="7"/>
      <c r="Q24" s="44"/>
      <c r="R24" s="7"/>
      <c r="S24" s="7"/>
      <c r="T24" s="88"/>
    </row>
    <row r="25" spans="2:20">
      <c r="B25" s="2" t="s">
        <v>71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14">G25-E25-D25-C25</f>
        <v>290</v>
      </c>
      <c r="G25" s="44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15">L25-J25-I25-H25</f>
        <v>181</v>
      </c>
      <c r="L25" s="44">
        <v>1153</v>
      </c>
      <c r="M25" s="7">
        <v>226</v>
      </c>
      <c r="N25" s="70">
        <v>211</v>
      </c>
      <c r="O25" s="7">
        <v>236</v>
      </c>
      <c r="P25" s="7">
        <f t="shared" ref="P25:P28" si="16">Q25-O25-N25-M25</f>
        <v>588</v>
      </c>
      <c r="Q25" s="44">
        <v>1261</v>
      </c>
      <c r="R25" s="7">
        <v>411</v>
      </c>
      <c r="S25" s="7">
        <v>233</v>
      </c>
      <c r="T25" s="88">
        <v>212</v>
      </c>
    </row>
    <row r="26" spans="2:20">
      <c r="B26" s="2" t="s">
        <v>72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14"/>
        <v>-632</v>
      </c>
      <c r="G26" s="47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15"/>
        <v>-715</v>
      </c>
      <c r="L26" s="47">
        <v>-2705</v>
      </c>
      <c r="M26" s="20">
        <v>-555</v>
      </c>
      <c r="N26" s="35">
        <v>-716</v>
      </c>
      <c r="O26" s="20">
        <v>-660</v>
      </c>
      <c r="P26" s="20">
        <f t="shared" si="16"/>
        <v>-600</v>
      </c>
      <c r="Q26" s="47">
        <v>-2531</v>
      </c>
      <c r="R26" s="20">
        <v>-787</v>
      </c>
      <c r="S26" s="20">
        <v>-667</v>
      </c>
      <c r="T26" s="91">
        <v>-475</v>
      </c>
    </row>
    <row r="27" spans="2:20">
      <c r="B27" s="2" t="s">
        <v>73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14"/>
        <v>-87</v>
      </c>
      <c r="G27" s="47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15"/>
        <v>47</v>
      </c>
      <c r="L27" s="47">
        <v>-213</v>
      </c>
      <c r="M27" s="20">
        <v>-3</v>
      </c>
      <c r="N27" s="70">
        <v>264</v>
      </c>
      <c r="O27" s="7">
        <v>45</v>
      </c>
      <c r="P27" s="20">
        <f t="shared" si="16"/>
        <v>-102</v>
      </c>
      <c r="Q27" s="44">
        <v>204</v>
      </c>
      <c r="R27" s="20">
        <v>-59</v>
      </c>
      <c r="S27" s="20">
        <v>-100</v>
      </c>
      <c r="T27" s="91">
        <v>49</v>
      </c>
    </row>
    <row r="28" spans="2:20">
      <c r="B28" s="2" t="s">
        <v>74</v>
      </c>
      <c r="C28" s="8">
        <v>244</v>
      </c>
      <c r="D28" s="8">
        <f>470-C28</f>
        <v>226</v>
      </c>
      <c r="E28" s="22">
        <f>453-D28-C28</f>
        <v>-17</v>
      </c>
      <c r="F28" s="8">
        <f t="shared" si="14"/>
        <v>82</v>
      </c>
      <c r="G28" s="52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15"/>
        <v>-828</v>
      </c>
      <c r="L28" s="48">
        <v>-724</v>
      </c>
      <c r="M28" s="22">
        <v>-57</v>
      </c>
      <c r="N28" s="86">
        <f>-717-M28</f>
        <v>-660</v>
      </c>
      <c r="O28" s="22">
        <v>-245</v>
      </c>
      <c r="P28" s="22">
        <f t="shared" si="16"/>
        <v>-15</v>
      </c>
      <c r="Q28" s="48">
        <v>-977</v>
      </c>
      <c r="R28" s="22">
        <v>-19</v>
      </c>
      <c r="S28" s="8">
        <v>59</v>
      </c>
      <c r="T28" s="92">
        <v>-238</v>
      </c>
    </row>
    <row r="29" spans="2:20">
      <c r="B29" s="2"/>
      <c r="C29" s="19">
        <f t="shared" ref="C29:R29" si="17">SUM(C25:C28)</f>
        <v>-468</v>
      </c>
      <c r="D29" s="19">
        <f t="shared" si="17"/>
        <v>-567</v>
      </c>
      <c r="E29" s="19">
        <f t="shared" si="17"/>
        <v>-335</v>
      </c>
      <c r="F29" s="19">
        <f t="shared" si="17"/>
        <v>-347</v>
      </c>
      <c r="G29" s="45">
        <f t="shared" si="17"/>
        <v>-1717</v>
      </c>
      <c r="H29" s="19">
        <f t="shared" si="17"/>
        <v>-479</v>
      </c>
      <c r="I29" s="19">
        <f t="shared" si="17"/>
        <v>-197</v>
      </c>
      <c r="J29" s="19">
        <f t="shared" si="17"/>
        <v>-498</v>
      </c>
      <c r="K29" s="19">
        <f t="shared" si="17"/>
        <v>-1315</v>
      </c>
      <c r="L29" s="45">
        <f t="shared" si="17"/>
        <v>-2489</v>
      </c>
      <c r="M29" s="19">
        <f t="shared" si="17"/>
        <v>-389</v>
      </c>
      <c r="N29" s="80">
        <f t="shared" si="17"/>
        <v>-901</v>
      </c>
      <c r="O29" s="19">
        <f t="shared" si="17"/>
        <v>-624</v>
      </c>
      <c r="P29" s="19">
        <f t="shared" si="17"/>
        <v>-129</v>
      </c>
      <c r="Q29" s="45">
        <f t="shared" si="17"/>
        <v>-2043</v>
      </c>
      <c r="R29" s="19">
        <f t="shared" si="17"/>
        <v>-454</v>
      </c>
      <c r="S29" s="19">
        <f t="shared" ref="S29:T29" si="18">SUM(S25:S28)</f>
        <v>-475</v>
      </c>
      <c r="T29" s="89">
        <f t="shared" si="18"/>
        <v>-452</v>
      </c>
    </row>
    <row r="30" spans="2:20">
      <c r="B30" s="12" t="s">
        <v>75</v>
      </c>
      <c r="C30" s="14">
        <f t="shared" ref="C30:R30" si="19">C17+C23+C29</f>
        <v>365</v>
      </c>
      <c r="D30" s="14">
        <f t="shared" si="19"/>
        <v>334</v>
      </c>
      <c r="E30" s="14">
        <f t="shared" si="19"/>
        <v>288</v>
      </c>
      <c r="F30" s="24">
        <f t="shared" si="19"/>
        <v>-2327</v>
      </c>
      <c r="G30" s="50">
        <f t="shared" si="19"/>
        <v>-1340</v>
      </c>
      <c r="H30" s="24">
        <f t="shared" si="19"/>
        <v>-357</v>
      </c>
      <c r="I30" s="14">
        <f t="shared" si="19"/>
        <v>903</v>
      </c>
      <c r="J30" s="14">
        <f t="shared" si="19"/>
        <v>551</v>
      </c>
      <c r="K30" s="25">
        <f t="shared" si="19"/>
        <v>-3</v>
      </c>
      <c r="L30" s="57">
        <f t="shared" si="19"/>
        <v>1094</v>
      </c>
      <c r="M30" s="14">
        <f t="shared" si="19"/>
        <v>502</v>
      </c>
      <c r="N30" s="79">
        <f t="shared" si="19"/>
        <v>276</v>
      </c>
      <c r="O30" s="14">
        <f t="shared" si="19"/>
        <v>199</v>
      </c>
      <c r="P30" s="14">
        <f t="shared" si="19"/>
        <v>2259</v>
      </c>
      <c r="Q30" s="57">
        <f t="shared" si="19"/>
        <v>3236</v>
      </c>
      <c r="R30" s="14">
        <f t="shared" si="19"/>
        <v>6764</v>
      </c>
      <c r="S30" s="14">
        <f t="shared" ref="S30:T30" si="20">S17+S23+S29</f>
        <v>358</v>
      </c>
      <c r="T30" s="94">
        <f t="shared" si="20"/>
        <v>-648</v>
      </c>
    </row>
    <row r="31" spans="2:20">
      <c r="B31" s="2"/>
      <c r="C31" s="7"/>
      <c r="D31" s="7"/>
      <c r="E31" s="7"/>
      <c r="F31" s="7"/>
      <c r="G31" s="44"/>
      <c r="H31" s="7"/>
      <c r="I31" s="7"/>
      <c r="J31" s="7"/>
      <c r="K31" s="7"/>
      <c r="L31" s="44"/>
      <c r="M31" s="7"/>
      <c r="N31" s="70"/>
      <c r="O31" s="7"/>
      <c r="P31" s="7"/>
      <c r="Q31" s="44"/>
      <c r="R31" s="7"/>
      <c r="S31" s="7"/>
      <c r="T31" s="88"/>
    </row>
    <row r="32" spans="2:20">
      <c r="B32" s="1" t="s">
        <v>76</v>
      </c>
      <c r="C32" s="7"/>
      <c r="D32" s="7"/>
      <c r="E32" s="7"/>
      <c r="F32" s="7"/>
      <c r="G32" s="44"/>
      <c r="H32" s="7"/>
      <c r="I32" s="7"/>
      <c r="J32" s="7"/>
      <c r="K32" s="7"/>
      <c r="L32" s="44"/>
      <c r="M32" s="7"/>
      <c r="N32" s="70"/>
      <c r="O32" s="7"/>
      <c r="P32" s="7"/>
      <c r="Q32" s="44"/>
      <c r="R32" s="7"/>
      <c r="S32" s="7"/>
      <c r="T32" s="88"/>
    </row>
    <row r="33" spans="1:20">
      <c r="B33" s="2" t="s">
        <v>77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21">G33-E33-D33-C33</f>
        <v>7</v>
      </c>
      <c r="G33" s="47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22">L33-J33-I33-H33</f>
        <v>-240</v>
      </c>
      <c r="L33" s="47">
        <v>-722</v>
      </c>
      <c r="M33" s="20">
        <v>-201</v>
      </c>
      <c r="N33" s="35">
        <v>-86</v>
      </c>
      <c r="O33" s="20">
        <v>-109</v>
      </c>
      <c r="P33" s="20">
        <f t="shared" ref="P33:P34" si="23">Q33-O33-N33-M33</f>
        <v>-60</v>
      </c>
      <c r="Q33" s="47">
        <v>-456</v>
      </c>
      <c r="R33" s="20">
        <v>-1251</v>
      </c>
      <c r="S33" s="20">
        <v>-45</v>
      </c>
      <c r="T33" s="91">
        <v>-130</v>
      </c>
    </row>
    <row r="34" spans="1:20">
      <c r="B34" s="2" t="s">
        <v>78</v>
      </c>
      <c r="C34" s="20">
        <v>-27</v>
      </c>
      <c r="D34" s="7">
        <f>167-C34</f>
        <v>194</v>
      </c>
      <c r="E34" s="7">
        <f>300-D34-C34</f>
        <v>133</v>
      </c>
      <c r="F34" s="7">
        <f t="shared" si="21"/>
        <v>570</v>
      </c>
      <c r="G34" s="44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22"/>
        <v>263</v>
      </c>
      <c r="L34" s="44">
        <v>586</v>
      </c>
      <c r="M34" s="20">
        <v>-55</v>
      </c>
      <c r="N34" s="35">
        <v>-4</v>
      </c>
      <c r="O34" s="7">
        <v>22</v>
      </c>
      <c r="P34" s="20">
        <f t="shared" si="23"/>
        <v>-571</v>
      </c>
      <c r="Q34" s="47">
        <v>-608</v>
      </c>
      <c r="R34" s="20">
        <v>-1123</v>
      </c>
      <c r="S34" s="20">
        <v>-51</v>
      </c>
      <c r="T34" s="91">
        <v>321</v>
      </c>
    </row>
    <row r="35" spans="1:20">
      <c r="B35" s="2"/>
      <c r="C35" s="21">
        <f t="shared" ref="C35:R35" si="24">SUM(C33:C34)</f>
        <v>-142</v>
      </c>
      <c r="D35" s="10">
        <f t="shared" si="24"/>
        <v>2</v>
      </c>
      <c r="E35" s="21">
        <f t="shared" si="24"/>
        <v>-48</v>
      </c>
      <c r="F35" s="10">
        <f t="shared" si="24"/>
        <v>577</v>
      </c>
      <c r="G35" s="54">
        <f t="shared" si="24"/>
        <v>389</v>
      </c>
      <c r="H35" s="21">
        <f t="shared" si="24"/>
        <v>-96</v>
      </c>
      <c r="I35" s="21">
        <f t="shared" si="24"/>
        <v>-156</v>
      </c>
      <c r="J35" s="10">
        <f t="shared" si="24"/>
        <v>93</v>
      </c>
      <c r="K35" s="10">
        <f t="shared" si="24"/>
        <v>23</v>
      </c>
      <c r="L35" s="49">
        <f t="shared" si="24"/>
        <v>-136</v>
      </c>
      <c r="M35" s="21">
        <f t="shared" si="24"/>
        <v>-256</v>
      </c>
      <c r="N35" s="83">
        <f t="shared" si="24"/>
        <v>-90</v>
      </c>
      <c r="O35" s="21">
        <f t="shared" si="24"/>
        <v>-87</v>
      </c>
      <c r="P35" s="21">
        <f t="shared" si="24"/>
        <v>-631</v>
      </c>
      <c r="Q35" s="49">
        <f t="shared" si="24"/>
        <v>-1064</v>
      </c>
      <c r="R35" s="21">
        <f t="shared" si="24"/>
        <v>-2374</v>
      </c>
      <c r="S35" s="21">
        <f t="shared" ref="S35:T35" si="25">SUM(S33:S34)</f>
        <v>-96</v>
      </c>
      <c r="T35" s="93">
        <f t="shared" si="25"/>
        <v>191</v>
      </c>
    </row>
    <row r="36" spans="1:20">
      <c r="B36" s="12" t="s">
        <v>79</v>
      </c>
      <c r="C36" s="14">
        <f t="shared" ref="C36:R36" si="26">C30+C35</f>
        <v>223</v>
      </c>
      <c r="D36" s="14">
        <f t="shared" si="26"/>
        <v>336</v>
      </c>
      <c r="E36" s="14">
        <f t="shared" si="26"/>
        <v>240</v>
      </c>
      <c r="F36" s="25">
        <f t="shared" si="26"/>
        <v>-1750</v>
      </c>
      <c r="G36" s="55">
        <f t="shared" si="26"/>
        <v>-951</v>
      </c>
      <c r="H36" s="25">
        <f t="shared" si="26"/>
        <v>-453</v>
      </c>
      <c r="I36" s="14">
        <f t="shared" si="26"/>
        <v>747</v>
      </c>
      <c r="J36" s="14">
        <f t="shared" si="26"/>
        <v>644</v>
      </c>
      <c r="K36" s="14">
        <f t="shared" si="26"/>
        <v>20</v>
      </c>
      <c r="L36" s="57">
        <f t="shared" si="26"/>
        <v>958</v>
      </c>
      <c r="M36" s="14">
        <f t="shared" si="26"/>
        <v>246</v>
      </c>
      <c r="N36" s="79">
        <f t="shared" si="26"/>
        <v>186</v>
      </c>
      <c r="O36" s="14">
        <f t="shared" si="26"/>
        <v>112</v>
      </c>
      <c r="P36" s="14">
        <f t="shared" si="26"/>
        <v>1628</v>
      </c>
      <c r="Q36" s="57">
        <f t="shared" si="26"/>
        <v>2172</v>
      </c>
      <c r="R36" s="14">
        <f t="shared" si="26"/>
        <v>4390</v>
      </c>
      <c r="S36" s="14">
        <f t="shared" ref="S36:T36" si="27">S30+S35</f>
        <v>262</v>
      </c>
      <c r="T36" s="94">
        <f t="shared" si="27"/>
        <v>-457</v>
      </c>
    </row>
    <row r="37" spans="1:20">
      <c r="B37" s="2"/>
      <c r="C37" s="7"/>
      <c r="D37" s="7"/>
      <c r="E37" s="7"/>
      <c r="F37" s="7"/>
      <c r="G37" s="44"/>
      <c r="H37" s="7"/>
      <c r="I37" s="7"/>
      <c r="J37" s="7"/>
      <c r="K37" s="7"/>
      <c r="L37" s="44"/>
      <c r="M37" s="7"/>
      <c r="N37" s="70"/>
      <c r="O37" s="7"/>
      <c r="P37" s="7"/>
      <c r="Q37" s="44"/>
      <c r="R37" s="7"/>
      <c r="S37" s="7"/>
      <c r="T37" s="88"/>
    </row>
    <row r="38" spans="1:20">
      <c r="B38" s="1" t="s">
        <v>80</v>
      </c>
      <c r="C38" s="7"/>
      <c r="D38" s="7"/>
      <c r="E38" s="7"/>
      <c r="F38" s="7"/>
      <c r="G38" s="44"/>
      <c r="H38" s="7"/>
      <c r="I38" s="7"/>
      <c r="J38" s="7"/>
      <c r="K38" s="7"/>
      <c r="L38" s="44"/>
      <c r="M38" s="7"/>
      <c r="N38" s="70"/>
      <c r="O38" s="7"/>
      <c r="P38" s="7"/>
      <c r="Q38" s="44"/>
      <c r="R38" s="7"/>
      <c r="S38" s="7"/>
      <c r="T38" s="88"/>
    </row>
    <row r="39" spans="1:20">
      <c r="B39" s="2" t="s">
        <v>81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28">G39-E39-D39-C39</f>
        <v>-112</v>
      </c>
      <c r="G39" s="47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29">L39-J39-I39-H39</f>
        <v>262</v>
      </c>
      <c r="L39" s="47">
        <v>-148</v>
      </c>
      <c r="M39" s="20">
        <v>-96</v>
      </c>
      <c r="N39" s="35">
        <v>-40</v>
      </c>
      <c r="O39" s="91">
        <v>0</v>
      </c>
      <c r="P39" s="20">
        <f t="shared" ref="P39" si="30">Q39-O39-N39-M39</f>
        <v>-82</v>
      </c>
      <c r="Q39" s="47">
        <v>-218</v>
      </c>
      <c r="R39" s="7">
        <v>1</v>
      </c>
      <c r="S39" s="20">
        <v>-37</v>
      </c>
      <c r="T39" s="91">
        <v>-1</v>
      </c>
    </row>
    <row r="40" spans="1:20" ht="15.75" thickBot="1">
      <c r="B40" s="1" t="s">
        <v>82</v>
      </c>
      <c r="C40" s="15">
        <f t="shared" ref="C40:R40" si="31">C36+C39</f>
        <v>144</v>
      </c>
      <c r="D40" s="15">
        <f t="shared" si="31"/>
        <v>318</v>
      </c>
      <c r="E40" s="15">
        <f t="shared" si="31"/>
        <v>149</v>
      </c>
      <c r="F40" s="26">
        <f t="shared" si="31"/>
        <v>-1862</v>
      </c>
      <c r="G40" s="56">
        <f t="shared" si="31"/>
        <v>-1251</v>
      </c>
      <c r="H40" s="26">
        <f t="shared" si="31"/>
        <v>-546</v>
      </c>
      <c r="I40" s="15">
        <f t="shared" si="31"/>
        <v>554</v>
      </c>
      <c r="J40" s="15">
        <f t="shared" si="31"/>
        <v>520</v>
      </c>
      <c r="K40" s="15">
        <f t="shared" si="31"/>
        <v>282</v>
      </c>
      <c r="L40" s="58">
        <f t="shared" si="31"/>
        <v>810</v>
      </c>
      <c r="M40" s="15">
        <f t="shared" si="31"/>
        <v>150</v>
      </c>
      <c r="N40" s="81">
        <f t="shared" si="31"/>
        <v>146</v>
      </c>
      <c r="O40" s="15">
        <f t="shared" si="31"/>
        <v>112</v>
      </c>
      <c r="P40" s="15">
        <f t="shared" si="31"/>
        <v>1546</v>
      </c>
      <c r="Q40" s="58">
        <f t="shared" si="31"/>
        <v>1954</v>
      </c>
      <c r="R40" s="15">
        <f t="shared" si="31"/>
        <v>4391</v>
      </c>
      <c r="S40" s="15">
        <f t="shared" ref="S40:T40" si="32">S36+S39</f>
        <v>225</v>
      </c>
      <c r="T40" s="96">
        <f t="shared" si="32"/>
        <v>-458</v>
      </c>
    </row>
    <row r="41" spans="1:20" ht="15.75" thickTop="1">
      <c r="B41" s="2"/>
      <c r="C41" s="7"/>
      <c r="D41" s="7"/>
      <c r="E41" s="7"/>
      <c r="F41" s="7"/>
      <c r="G41" s="44"/>
      <c r="H41" s="7"/>
      <c r="I41" s="7"/>
      <c r="J41" s="7"/>
      <c r="K41" s="7"/>
      <c r="L41" s="44"/>
      <c r="M41" s="7"/>
      <c r="N41" s="70"/>
      <c r="O41" s="7"/>
      <c r="P41" s="7"/>
      <c r="Q41" s="44"/>
      <c r="R41" s="7"/>
      <c r="S41" s="7"/>
      <c r="T41" s="88"/>
    </row>
    <row r="42" spans="1:20">
      <c r="B42" s="2" t="s">
        <v>84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33">G42-E42-D42-C42</f>
        <v>-1801</v>
      </c>
      <c r="G42" s="47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34">L42-J42-I42-H42</f>
        <v>111</v>
      </c>
      <c r="L42" s="44">
        <v>590</v>
      </c>
      <c r="M42" s="7">
        <v>52</v>
      </c>
      <c r="N42" s="70">
        <v>157</v>
      </c>
      <c r="O42" s="7">
        <f>293-N42-M42</f>
        <v>84</v>
      </c>
      <c r="P42" s="7">
        <f t="shared" ref="P42:P43" si="35">Q42-O42-N42-M42</f>
        <v>1453</v>
      </c>
      <c r="Q42" s="44">
        <v>1746</v>
      </c>
      <c r="R42" s="7">
        <v>4388</v>
      </c>
      <c r="S42" s="7">
        <v>189</v>
      </c>
      <c r="T42" s="88">
        <v>-198</v>
      </c>
    </row>
    <row r="43" spans="1:20">
      <c r="B43" s="2" t="s">
        <v>83</v>
      </c>
      <c r="C43" s="20">
        <v>-4</v>
      </c>
      <c r="D43" s="7">
        <f>60-C43</f>
        <v>64</v>
      </c>
      <c r="E43" s="7">
        <f>106-D43-C43</f>
        <v>46</v>
      </c>
      <c r="F43" s="20">
        <f t="shared" si="33"/>
        <v>-61</v>
      </c>
      <c r="G43" s="44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34"/>
        <v>171</v>
      </c>
      <c r="L43" s="44">
        <v>220</v>
      </c>
      <c r="M43" s="7">
        <v>98</v>
      </c>
      <c r="N43" s="35">
        <f>87-M43</f>
        <v>-11</v>
      </c>
      <c r="O43" s="7">
        <f>115-N43-M43</f>
        <v>28</v>
      </c>
      <c r="P43" s="7">
        <f t="shared" si="35"/>
        <v>93</v>
      </c>
      <c r="Q43" s="44">
        <v>208</v>
      </c>
      <c r="R43" s="7">
        <v>3</v>
      </c>
      <c r="S43" s="7">
        <v>36</v>
      </c>
      <c r="T43" s="88">
        <v>-260</v>
      </c>
    </row>
    <row r="44" spans="1:20" ht="15.75" thickBot="1">
      <c r="B44" s="1" t="s">
        <v>82</v>
      </c>
      <c r="C44" s="15">
        <f t="shared" ref="C44:R44" si="36">C42+C43</f>
        <v>144</v>
      </c>
      <c r="D44" s="15">
        <f t="shared" si="36"/>
        <v>318</v>
      </c>
      <c r="E44" s="15">
        <f t="shared" si="36"/>
        <v>149</v>
      </c>
      <c r="F44" s="26">
        <f t="shared" si="36"/>
        <v>-1862</v>
      </c>
      <c r="G44" s="56">
        <f t="shared" si="36"/>
        <v>-1251</v>
      </c>
      <c r="H44" s="26">
        <f t="shared" si="36"/>
        <v>-546</v>
      </c>
      <c r="I44" s="15">
        <f t="shared" si="36"/>
        <v>554</v>
      </c>
      <c r="J44" s="15">
        <f t="shared" si="36"/>
        <v>520</v>
      </c>
      <c r="K44" s="15">
        <f t="shared" si="36"/>
        <v>282</v>
      </c>
      <c r="L44" s="58">
        <f t="shared" si="36"/>
        <v>810</v>
      </c>
      <c r="M44" s="15">
        <f t="shared" si="36"/>
        <v>150</v>
      </c>
      <c r="N44" s="81">
        <f t="shared" si="36"/>
        <v>146</v>
      </c>
      <c r="O44" s="15">
        <f t="shared" si="36"/>
        <v>112</v>
      </c>
      <c r="P44" s="15">
        <f t="shared" si="36"/>
        <v>1546</v>
      </c>
      <c r="Q44" s="58">
        <f t="shared" si="36"/>
        <v>1954</v>
      </c>
      <c r="R44" s="15">
        <f t="shared" si="36"/>
        <v>4391</v>
      </c>
      <c r="S44" s="15">
        <f t="shared" ref="S44:T44" si="37">S42+S43</f>
        <v>225</v>
      </c>
      <c r="T44" s="96">
        <f t="shared" si="37"/>
        <v>-458</v>
      </c>
    </row>
    <row r="45" spans="1:20" ht="15.75" thickTop="1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0"/>
      <c r="O45" s="7"/>
      <c r="P45" s="7"/>
      <c r="Q45" s="7"/>
    </row>
    <row r="46" spans="1:20">
      <c r="A46" s="36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0"/>
      <c r="O46" s="7"/>
      <c r="P46" s="7"/>
      <c r="Q46" s="7"/>
    </row>
    <row r="47" spans="1:20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0"/>
      <c r="O47" s="7"/>
      <c r="P47" s="7"/>
      <c r="Q47" s="7"/>
    </row>
    <row r="48" spans="1:20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0"/>
      <c r="O48" s="7"/>
      <c r="P48" s="7"/>
      <c r="Q48" s="7"/>
    </row>
    <row r="49" spans="3:17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0"/>
      <c r="O49" s="7"/>
      <c r="P49" s="7"/>
      <c r="Q49" s="7"/>
    </row>
    <row r="50" spans="3:17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0"/>
      <c r="O50" s="7"/>
      <c r="P50" s="7"/>
      <c r="Q50" s="7"/>
    </row>
    <row r="51" spans="3:17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0"/>
      <c r="O51" s="7"/>
      <c r="P51" s="7"/>
      <c r="Q51" s="7"/>
    </row>
    <row r="52" spans="3:17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0"/>
      <c r="O52" s="7"/>
      <c r="P52" s="7"/>
      <c r="Q52" s="7"/>
    </row>
    <row r="53" spans="3:17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0"/>
      <c r="O53" s="7"/>
      <c r="P53" s="7"/>
      <c r="Q53" s="7"/>
    </row>
  </sheetData>
  <mergeCells count="4">
    <mergeCell ref="C4:G5"/>
    <mergeCell ref="H4:L5"/>
    <mergeCell ref="M4:Q5"/>
    <mergeCell ref="R4:T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H4 M4 C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108"/>
  <sheetViews>
    <sheetView showGridLines="0" tabSelected="1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O88" sqref="O88"/>
    </sheetView>
  </sheetViews>
  <sheetFormatPr defaultRowHeight="15"/>
  <cols>
    <col min="1" max="1" width="3.42578125" customWidth="1"/>
    <col min="2" max="2" width="83.42578125" bestFit="1" customWidth="1"/>
    <col min="3" max="13" width="18" customWidth="1"/>
    <col min="14" max="14" width="18" style="71" customWidth="1"/>
    <col min="15" max="15" width="18" style="97" customWidth="1"/>
    <col min="16" max="19" width="18" customWidth="1"/>
    <col min="20" max="20" width="18" style="97" customWidth="1"/>
  </cols>
  <sheetData>
    <row r="2" spans="2:20">
      <c r="F2" s="33"/>
      <c r="H2" s="33"/>
      <c r="K2" s="33"/>
      <c r="P2" s="33"/>
    </row>
    <row r="4" spans="2:20" ht="15" customHeight="1">
      <c r="B4" s="3"/>
      <c r="C4" s="107" t="s">
        <v>49</v>
      </c>
      <c r="D4" s="107"/>
      <c r="E4" s="107"/>
      <c r="F4" s="107"/>
      <c r="G4" s="107"/>
      <c r="H4" s="107" t="s">
        <v>54</v>
      </c>
      <c r="I4" s="107"/>
      <c r="J4" s="107"/>
      <c r="K4" s="107"/>
      <c r="L4" s="107"/>
      <c r="M4" s="108" t="s">
        <v>56</v>
      </c>
      <c r="N4" s="108"/>
      <c r="O4" s="108"/>
      <c r="P4" s="108"/>
      <c r="Q4" s="108"/>
      <c r="R4" s="109">
        <v>2019</v>
      </c>
      <c r="S4" s="109"/>
      <c r="T4" s="109"/>
    </row>
    <row r="5" spans="2:20" ht="15.75">
      <c r="B5" s="4" t="s">
        <v>180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8"/>
      <c r="N5" s="108"/>
      <c r="O5" s="108"/>
      <c r="P5" s="108"/>
      <c r="Q5" s="108"/>
      <c r="R5" s="109"/>
      <c r="S5" s="109"/>
      <c r="T5" s="109"/>
    </row>
    <row r="6" spans="2:20" ht="15.75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6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174</v>
      </c>
      <c r="N6" s="6" t="s">
        <v>175</v>
      </c>
      <c r="O6" s="98" t="s">
        <v>176</v>
      </c>
      <c r="P6" s="6" t="s">
        <v>55</v>
      </c>
      <c r="Q6" s="41" t="s">
        <v>56</v>
      </c>
      <c r="R6" s="6" t="s">
        <v>185</v>
      </c>
      <c r="S6" s="6" t="s">
        <v>188</v>
      </c>
      <c r="T6" s="98" t="s">
        <v>193</v>
      </c>
    </row>
    <row r="7" spans="2:20">
      <c r="B7" s="12" t="s">
        <v>88</v>
      </c>
      <c r="G7" s="43"/>
      <c r="L7" s="43"/>
      <c r="Q7" s="43"/>
    </row>
    <row r="8" spans="2:20">
      <c r="B8" s="12"/>
      <c r="G8" s="43"/>
      <c r="L8" s="43"/>
      <c r="Q8" s="43"/>
    </row>
    <row r="9" spans="2:20" s="16" customFormat="1">
      <c r="B9" s="1" t="s">
        <v>89</v>
      </c>
      <c r="C9" s="27">
        <v>365</v>
      </c>
      <c r="D9" s="27">
        <f>699-C9</f>
        <v>334</v>
      </c>
      <c r="E9" s="27">
        <f>987-C9-D9</f>
        <v>288</v>
      </c>
      <c r="F9" s="34">
        <f>G9-SUM(C9:E9)</f>
        <v>-2327</v>
      </c>
      <c r="G9" s="59">
        <v>-1340</v>
      </c>
      <c r="H9" s="34">
        <v>-357</v>
      </c>
      <c r="I9" s="27">
        <f>546-H9</f>
        <v>903</v>
      </c>
      <c r="J9" s="27">
        <f>1097-I9-H9</f>
        <v>551</v>
      </c>
      <c r="K9" s="34">
        <f>L9-SUM(H9:J9)</f>
        <v>-3</v>
      </c>
      <c r="L9" s="61">
        <v>1094</v>
      </c>
      <c r="M9" s="99">
        <v>502</v>
      </c>
      <c r="N9" s="99">
        <v>276</v>
      </c>
      <c r="O9" s="99">
        <f>977-N9-M9</f>
        <v>199</v>
      </c>
      <c r="P9" s="99">
        <f>Q9-SUM(M9:O9)</f>
        <v>2259</v>
      </c>
      <c r="Q9" s="61">
        <f>3236</f>
        <v>3236</v>
      </c>
      <c r="R9" s="27">
        <v>6764</v>
      </c>
      <c r="S9" s="27">
        <v>358</v>
      </c>
      <c r="T9" s="99">
        <v>-648</v>
      </c>
    </row>
    <row r="10" spans="2:20">
      <c r="B10" s="2"/>
      <c r="C10" s="7"/>
      <c r="D10" s="7"/>
      <c r="E10" s="7"/>
      <c r="F10" s="7"/>
      <c r="G10" s="44"/>
      <c r="H10" s="7"/>
      <c r="I10" s="7"/>
      <c r="J10" s="7"/>
      <c r="K10" s="7"/>
      <c r="L10" s="44"/>
      <c r="M10" s="88"/>
      <c r="N10" s="88"/>
      <c r="O10" s="88"/>
      <c r="P10" s="88"/>
      <c r="Q10" s="44"/>
      <c r="R10" s="7"/>
      <c r="S10" s="7"/>
      <c r="T10" s="88"/>
    </row>
    <row r="11" spans="2:20">
      <c r="B11" s="2" t="s">
        <v>172</v>
      </c>
      <c r="C11" s="20">
        <v>-79</v>
      </c>
      <c r="D11" s="20">
        <f>-97-C11</f>
        <v>-18</v>
      </c>
      <c r="E11" s="20">
        <f>-188-C11-D11</f>
        <v>-91</v>
      </c>
      <c r="F11" s="20">
        <f>G11-SUM(C11:E11)</f>
        <v>-112</v>
      </c>
      <c r="G11" s="47">
        <v>-300</v>
      </c>
      <c r="H11" s="20">
        <v>-93</v>
      </c>
      <c r="I11" s="20">
        <f>-286-H11</f>
        <v>-193</v>
      </c>
      <c r="J11" s="20">
        <f>-410-H11-I11</f>
        <v>-124</v>
      </c>
      <c r="K11" s="7">
        <f>L11-SUM(H11:J11)</f>
        <v>262</v>
      </c>
      <c r="L11" s="47">
        <v>-148</v>
      </c>
      <c r="M11" s="91">
        <v>-96</v>
      </c>
      <c r="N11" s="91">
        <v>-40</v>
      </c>
      <c r="O11" s="91">
        <f>-136-M11-N11</f>
        <v>0</v>
      </c>
      <c r="P11" s="91">
        <f>Q11-SUM(M11:O11)</f>
        <v>-82</v>
      </c>
      <c r="Q11" s="47">
        <v>-218</v>
      </c>
      <c r="R11" s="7">
        <v>1</v>
      </c>
      <c r="S11" s="20">
        <v>-37</v>
      </c>
      <c r="T11" s="91">
        <v>-1</v>
      </c>
    </row>
    <row r="12" spans="2:20">
      <c r="B12" s="2"/>
      <c r="C12" s="20"/>
      <c r="D12" s="20"/>
      <c r="E12" s="20"/>
      <c r="F12" s="20"/>
      <c r="G12" s="47"/>
      <c r="H12" s="20"/>
      <c r="I12" s="20"/>
      <c r="J12" s="20"/>
      <c r="K12" s="7"/>
      <c r="L12" s="47"/>
      <c r="M12" s="91"/>
      <c r="N12" s="91"/>
      <c r="O12" s="91"/>
      <c r="P12" s="91"/>
      <c r="Q12" s="47"/>
      <c r="R12" s="7"/>
      <c r="S12" s="7"/>
      <c r="T12" s="88"/>
    </row>
    <row r="13" spans="2:20">
      <c r="B13" s="2" t="s">
        <v>173</v>
      </c>
      <c r="C13" s="20"/>
      <c r="D13" s="20"/>
      <c r="E13" s="20"/>
      <c r="F13" s="20"/>
      <c r="G13" s="47"/>
      <c r="H13" s="20"/>
      <c r="I13" s="20"/>
      <c r="J13" s="20"/>
      <c r="K13" s="20"/>
      <c r="L13" s="47"/>
      <c r="M13" s="91"/>
      <c r="N13" s="91"/>
      <c r="O13" s="91"/>
      <c r="P13" s="91"/>
      <c r="Q13" s="47"/>
      <c r="R13" s="20"/>
      <c r="S13" s="20"/>
      <c r="T13" s="91"/>
    </row>
    <row r="14" spans="2:20">
      <c r="B14" s="2" t="s">
        <v>139</v>
      </c>
      <c r="C14" s="7">
        <v>0</v>
      </c>
      <c r="D14" s="7">
        <v>0</v>
      </c>
      <c r="E14" s="7">
        <v>0</v>
      </c>
      <c r="F14" s="7">
        <f t="shared" ref="F14:F36" si="0">G14-SUM(C14:E14)</f>
        <v>0</v>
      </c>
      <c r="G14" s="44">
        <v>0</v>
      </c>
      <c r="H14" s="7">
        <v>0</v>
      </c>
      <c r="I14" s="7">
        <v>0</v>
      </c>
      <c r="J14" s="7">
        <v>0</v>
      </c>
      <c r="K14" s="20">
        <f t="shared" ref="K14:K36" si="1">L14-SUM(H14:J14)</f>
        <v>-23</v>
      </c>
      <c r="L14" s="47">
        <f>-133-118+228</f>
        <v>-23</v>
      </c>
      <c r="M14" s="88">
        <v>0</v>
      </c>
      <c r="N14" s="88">
        <v>0</v>
      </c>
      <c r="O14" s="88">
        <v>0</v>
      </c>
      <c r="P14" s="88">
        <f t="shared" ref="P14:P36" si="2">Q14-SUM(M14:O14)</f>
        <v>0</v>
      </c>
      <c r="Q14" s="44">
        <v>0</v>
      </c>
      <c r="R14" s="7">
        <v>0</v>
      </c>
      <c r="S14" s="7">
        <v>0</v>
      </c>
      <c r="T14" s="88">
        <v>0</v>
      </c>
    </row>
    <row r="15" spans="2:20">
      <c r="B15" s="2" t="s">
        <v>92</v>
      </c>
      <c r="C15" s="7">
        <v>688</v>
      </c>
      <c r="D15" s="7">
        <f>1340-C15</f>
        <v>652</v>
      </c>
      <c r="E15" s="7">
        <f>1961-C15-D15</f>
        <v>621</v>
      </c>
      <c r="F15" s="7">
        <f t="shared" si="0"/>
        <v>642</v>
      </c>
      <c r="G15" s="44">
        <v>2603</v>
      </c>
      <c r="H15" s="7">
        <v>592</v>
      </c>
      <c r="I15" s="7">
        <f>1171-H15</f>
        <v>579</v>
      </c>
      <c r="J15" s="7">
        <f>1730-H15-I15</f>
        <v>559</v>
      </c>
      <c r="K15" s="7">
        <f t="shared" si="1"/>
        <v>595</v>
      </c>
      <c r="L15" s="44">
        <v>2325</v>
      </c>
      <c r="M15" s="88">
        <v>595</v>
      </c>
      <c r="N15" s="88">
        <v>622</v>
      </c>
      <c r="O15" s="88">
        <f>1876-M15-N15</f>
        <v>659</v>
      </c>
      <c r="P15" s="88">
        <f t="shared" si="2"/>
        <v>594</v>
      </c>
      <c r="Q15" s="44">
        <v>2470</v>
      </c>
      <c r="R15" s="7">
        <v>729</v>
      </c>
      <c r="S15" s="7">
        <v>762</v>
      </c>
      <c r="T15" s="88">
        <v>802</v>
      </c>
    </row>
    <row r="16" spans="2:20">
      <c r="B16" s="2" t="s">
        <v>91</v>
      </c>
      <c r="C16" s="20">
        <v>-291</v>
      </c>
      <c r="D16" s="20">
        <f>-586-C16</f>
        <v>-295</v>
      </c>
      <c r="E16" s="7">
        <f>-558-C16-D16</f>
        <v>28</v>
      </c>
      <c r="F16" s="20">
        <f t="shared" si="0"/>
        <v>-166</v>
      </c>
      <c r="G16" s="47">
        <v>-724</v>
      </c>
      <c r="H16" s="20">
        <v>-134</v>
      </c>
      <c r="I16" s="20">
        <f>-484-H16</f>
        <v>-350</v>
      </c>
      <c r="J16" s="20">
        <f>-931-H16-I16</f>
        <v>-447</v>
      </c>
      <c r="K16" s="20">
        <f t="shared" si="1"/>
        <v>-288</v>
      </c>
      <c r="L16" s="47">
        <v>-1219</v>
      </c>
      <c r="M16" s="91">
        <v>-389</v>
      </c>
      <c r="N16" s="91">
        <v>-115</v>
      </c>
      <c r="O16" s="91">
        <f>-562-M16-N16</f>
        <v>-58</v>
      </c>
      <c r="P16" s="91">
        <f t="shared" si="2"/>
        <v>-252</v>
      </c>
      <c r="Q16" s="47">
        <v>-814</v>
      </c>
      <c r="R16" s="20">
        <v>-89</v>
      </c>
      <c r="S16" s="20">
        <v>-215</v>
      </c>
      <c r="T16" s="91">
        <v>-41</v>
      </c>
    </row>
    <row r="17" spans="2:20">
      <c r="B17" s="2" t="s">
        <v>148</v>
      </c>
      <c r="C17" s="7">
        <v>0</v>
      </c>
      <c r="D17" s="7">
        <v>0</v>
      </c>
      <c r="E17" s="7">
        <v>0</v>
      </c>
      <c r="F17" s="7">
        <v>0</v>
      </c>
      <c r="G17" s="44">
        <v>0</v>
      </c>
      <c r="H17" s="7">
        <v>0</v>
      </c>
      <c r="I17" s="7">
        <v>0</v>
      </c>
      <c r="J17" s="7">
        <v>0</v>
      </c>
      <c r="K17" s="7">
        <v>0</v>
      </c>
      <c r="L17" s="44">
        <v>0</v>
      </c>
      <c r="M17" s="91">
        <v>0</v>
      </c>
      <c r="N17" s="91">
        <v>0</v>
      </c>
      <c r="O17" s="91">
        <v>0</v>
      </c>
      <c r="P17" s="91">
        <f t="shared" si="2"/>
        <v>-820</v>
      </c>
      <c r="Q17" s="47">
        <v>-820</v>
      </c>
      <c r="R17" s="7">
        <v>0</v>
      </c>
      <c r="S17" s="7">
        <v>0</v>
      </c>
      <c r="T17" s="88">
        <v>0</v>
      </c>
    </row>
    <row r="18" spans="2:20">
      <c r="B18" s="2" t="s">
        <v>191</v>
      </c>
      <c r="C18" s="7">
        <v>0</v>
      </c>
      <c r="D18" s="20">
        <v>-44</v>
      </c>
      <c r="E18" s="7">
        <f>-44-D18-C18</f>
        <v>0</v>
      </c>
      <c r="F18" s="7">
        <f t="shared" si="0"/>
        <v>0</v>
      </c>
      <c r="G18" s="47">
        <v>-44</v>
      </c>
      <c r="H18" s="7">
        <v>0</v>
      </c>
      <c r="I18" s="20">
        <f>-85-H18</f>
        <v>-85</v>
      </c>
      <c r="J18" s="20">
        <f>-131-H18-I18</f>
        <v>-46</v>
      </c>
      <c r="K18" s="7">
        <f>L18-SUM(H18:J18)</f>
        <v>462</v>
      </c>
      <c r="L18" s="44">
        <v>331</v>
      </c>
      <c r="M18" s="88">
        <v>0</v>
      </c>
      <c r="N18" s="88">
        <v>0</v>
      </c>
      <c r="O18" s="88">
        <v>0</v>
      </c>
      <c r="P18" s="88">
        <f t="shared" si="2"/>
        <v>0</v>
      </c>
      <c r="Q18" s="44">
        <v>0</v>
      </c>
      <c r="R18" s="7">
        <v>0</v>
      </c>
      <c r="S18" s="20">
        <v>-108</v>
      </c>
      <c r="T18" s="91">
        <v>0</v>
      </c>
    </row>
    <row r="19" spans="2:20">
      <c r="B19" s="2" t="s">
        <v>90</v>
      </c>
      <c r="C19" s="20">
        <v>-58</v>
      </c>
      <c r="D19" s="7">
        <f>130-C19</f>
        <v>188</v>
      </c>
      <c r="E19" s="7">
        <f>578-C19-D19</f>
        <v>448</v>
      </c>
      <c r="F19" s="7">
        <f t="shared" si="0"/>
        <v>474</v>
      </c>
      <c r="G19" s="44">
        <v>1052</v>
      </c>
      <c r="H19" s="7">
        <v>349</v>
      </c>
      <c r="I19" s="7">
        <f>508-H19</f>
        <v>159</v>
      </c>
      <c r="J19" s="7">
        <f>1095-H19-I19</f>
        <v>587</v>
      </c>
      <c r="K19" s="7">
        <f t="shared" si="1"/>
        <v>911</v>
      </c>
      <c r="L19" s="44">
        <v>2006</v>
      </c>
      <c r="M19" s="91">
        <v>89</v>
      </c>
      <c r="N19" s="91">
        <v>319</v>
      </c>
      <c r="O19" s="91">
        <f>587-M19-N19</f>
        <v>179</v>
      </c>
      <c r="P19" s="91">
        <f t="shared" si="2"/>
        <v>-86</v>
      </c>
      <c r="Q19" s="44">
        <v>501</v>
      </c>
      <c r="R19" s="7">
        <v>142</v>
      </c>
      <c r="S19" s="7">
        <v>282</v>
      </c>
      <c r="T19" s="88">
        <v>319</v>
      </c>
    </row>
    <row r="20" spans="2:20">
      <c r="B20" s="2" t="s">
        <v>136</v>
      </c>
      <c r="C20" s="7">
        <v>0</v>
      </c>
      <c r="D20" s="7">
        <v>0</v>
      </c>
      <c r="E20" s="7">
        <v>0</v>
      </c>
      <c r="F20" s="7">
        <v>0</v>
      </c>
      <c r="G20" s="44"/>
      <c r="H20" s="7">
        <v>0</v>
      </c>
      <c r="I20" s="7">
        <v>0</v>
      </c>
      <c r="J20" s="7">
        <f>0-I20-H20</f>
        <v>0</v>
      </c>
      <c r="K20" s="7">
        <f t="shared" si="1"/>
        <v>0</v>
      </c>
      <c r="L20" s="44">
        <v>0</v>
      </c>
      <c r="M20" s="88">
        <v>0</v>
      </c>
      <c r="N20" s="88">
        <v>0</v>
      </c>
      <c r="O20" s="88">
        <v>0</v>
      </c>
      <c r="P20" s="88">
        <f t="shared" si="2"/>
        <v>0</v>
      </c>
      <c r="Q20" s="44">
        <v>0</v>
      </c>
      <c r="R20" s="7">
        <v>0</v>
      </c>
      <c r="S20" s="7">
        <v>0</v>
      </c>
      <c r="T20" s="88">
        <v>0</v>
      </c>
    </row>
    <row r="21" spans="2:20">
      <c r="B21" s="2" t="s">
        <v>130</v>
      </c>
      <c r="C21" s="20">
        <v>-10</v>
      </c>
      <c r="D21" s="7">
        <f>57-C21</f>
        <v>67</v>
      </c>
      <c r="E21" s="20">
        <f>51-C21-D21</f>
        <v>-6</v>
      </c>
      <c r="F21" s="7">
        <f t="shared" si="0"/>
        <v>2101</v>
      </c>
      <c r="G21" s="44">
        <f>988+1164</f>
        <v>2152</v>
      </c>
      <c r="H21" s="20">
        <v>-26</v>
      </c>
      <c r="I21" s="35">
        <f>-37-H21</f>
        <v>-11</v>
      </c>
      <c r="J21" s="20">
        <f>-51-I21-H21</f>
        <v>-14</v>
      </c>
      <c r="K21" s="7">
        <f t="shared" si="1"/>
        <v>28</v>
      </c>
      <c r="L21" s="47">
        <v>-23</v>
      </c>
      <c r="M21" s="91">
        <v>-7</v>
      </c>
      <c r="N21" s="91">
        <f>-11-M21</f>
        <v>-4</v>
      </c>
      <c r="O21" s="91">
        <f>-16-M21-N21</f>
        <v>-5</v>
      </c>
      <c r="P21" s="91">
        <f t="shared" si="2"/>
        <v>-36</v>
      </c>
      <c r="Q21" s="47">
        <v>-52</v>
      </c>
      <c r="R21" s="20">
        <v>-9</v>
      </c>
      <c r="S21" s="20">
        <v>-6</v>
      </c>
      <c r="T21" s="91">
        <v>561</v>
      </c>
    </row>
    <row r="22" spans="2:20">
      <c r="B22" s="2" t="s">
        <v>93</v>
      </c>
      <c r="C22" s="20">
        <v>-38</v>
      </c>
      <c r="D22" s="20">
        <f>-43-C22</f>
        <v>-5</v>
      </c>
      <c r="E22" s="7">
        <f>-40-C22-D22</f>
        <v>3</v>
      </c>
      <c r="F22" s="20">
        <f t="shared" si="0"/>
        <v>-109</v>
      </c>
      <c r="G22" s="47">
        <v>-149</v>
      </c>
      <c r="H22" s="7">
        <v>24</v>
      </c>
      <c r="I22" s="20">
        <f>14-H22</f>
        <v>-10</v>
      </c>
      <c r="J22" s="7">
        <f>40-I22-H22</f>
        <v>26</v>
      </c>
      <c r="K22" s="20">
        <f t="shared" si="1"/>
        <v>-44</v>
      </c>
      <c r="L22" s="47">
        <v>-4</v>
      </c>
      <c r="M22" s="88">
        <v>-7</v>
      </c>
      <c r="N22" s="88">
        <v>0</v>
      </c>
      <c r="O22" s="88">
        <f>-51-M22-N22</f>
        <v>-44</v>
      </c>
      <c r="P22" s="88">
        <f t="shared" si="2"/>
        <v>9</v>
      </c>
      <c r="Q22" s="47">
        <v>-42</v>
      </c>
      <c r="R22" s="7">
        <v>2</v>
      </c>
      <c r="S22" s="20">
        <v>-33</v>
      </c>
      <c r="T22" s="91">
        <v>-14</v>
      </c>
    </row>
    <row r="23" spans="2:20">
      <c r="B23" s="2" t="s">
        <v>131</v>
      </c>
      <c r="C23" s="20">
        <v>-302</v>
      </c>
      <c r="D23" s="20">
        <f>-312-C23</f>
        <v>-10</v>
      </c>
      <c r="E23" s="7">
        <f>-312-C23-D23</f>
        <v>0</v>
      </c>
      <c r="F23" s="7">
        <f t="shared" si="0"/>
        <v>0</v>
      </c>
      <c r="G23" s="47">
        <v>-312</v>
      </c>
      <c r="H23" s="7">
        <v>0</v>
      </c>
      <c r="I23" s="20">
        <f>-16-H23</f>
        <v>-16</v>
      </c>
      <c r="J23" s="7">
        <f>-16-I23-H23</f>
        <v>0</v>
      </c>
      <c r="K23" s="20">
        <f t="shared" si="1"/>
        <v>-609</v>
      </c>
      <c r="L23" s="47">
        <v>-625</v>
      </c>
      <c r="M23" s="91">
        <v>0</v>
      </c>
      <c r="N23" s="91">
        <v>-7</v>
      </c>
      <c r="O23" s="91">
        <f>-8-M23-N23</f>
        <v>-1</v>
      </c>
      <c r="P23" s="91">
        <f t="shared" si="2"/>
        <v>-115</v>
      </c>
      <c r="Q23" s="47">
        <v>-123</v>
      </c>
      <c r="R23" s="7">
        <v>0</v>
      </c>
      <c r="S23" s="7">
        <v>50</v>
      </c>
      <c r="T23" s="88">
        <v>0</v>
      </c>
    </row>
    <row r="24" spans="2:20">
      <c r="B24" s="2" t="s">
        <v>137</v>
      </c>
      <c r="C24" s="7">
        <v>0</v>
      </c>
      <c r="D24" s="7">
        <v>0</v>
      </c>
      <c r="E24" s="7">
        <v>0</v>
      </c>
      <c r="F24" s="7">
        <v>0</v>
      </c>
      <c r="G24" s="44">
        <v>0</v>
      </c>
      <c r="H24" s="7">
        <v>0</v>
      </c>
      <c r="I24" s="7">
        <v>0</v>
      </c>
      <c r="J24" s="7">
        <f>0-I24-H24</f>
        <v>0</v>
      </c>
      <c r="K24" s="7">
        <f t="shared" si="1"/>
        <v>0</v>
      </c>
      <c r="L24" s="44">
        <v>0</v>
      </c>
      <c r="M24" s="88">
        <v>0</v>
      </c>
      <c r="N24" s="88">
        <v>0</v>
      </c>
      <c r="O24" s="88">
        <f>0-M24-N24</f>
        <v>0</v>
      </c>
      <c r="P24" s="88">
        <f t="shared" si="2"/>
        <v>0</v>
      </c>
      <c r="Q24" s="44">
        <v>0</v>
      </c>
      <c r="R24" s="7">
        <v>0</v>
      </c>
      <c r="S24" s="7">
        <v>0</v>
      </c>
      <c r="T24" s="88">
        <v>0</v>
      </c>
    </row>
    <row r="25" spans="2:20" s="71" customFormat="1">
      <c r="B25" s="39" t="s">
        <v>132</v>
      </c>
      <c r="C25" s="70">
        <v>0</v>
      </c>
      <c r="D25" s="70">
        <v>38</v>
      </c>
      <c r="E25" s="70">
        <f>42-C25-D25</f>
        <v>4</v>
      </c>
      <c r="F25" s="35">
        <f t="shared" si="0"/>
        <v>-38</v>
      </c>
      <c r="G25" s="44">
        <v>4</v>
      </c>
      <c r="H25" s="35">
        <v>-2</v>
      </c>
      <c r="I25" s="70">
        <f>3-H25</f>
        <v>5</v>
      </c>
      <c r="J25" s="70">
        <f>5-I25-H25</f>
        <v>2</v>
      </c>
      <c r="K25" s="35">
        <f t="shared" si="1"/>
        <v>-5</v>
      </c>
      <c r="L25" s="44">
        <v>0</v>
      </c>
      <c r="M25" s="101">
        <v>36</v>
      </c>
      <c r="N25" s="101">
        <v>46</v>
      </c>
      <c r="O25" s="101">
        <v>-10</v>
      </c>
      <c r="P25" s="101">
        <f t="shared" si="2"/>
        <v>-72</v>
      </c>
      <c r="Q25" s="44">
        <v>0</v>
      </c>
      <c r="R25" s="70">
        <v>0</v>
      </c>
      <c r="S25" s="70">
        <v>17</v>
      </c>
      <c r="T25" s="100">
        <v>22</v>
      </c>
    </row>
    <row r="26" spans="2:20" s="74" customFormat="1">
      <c r="B26" s="72" t="s">
        <v>144</v>
      </c>
      <c r="C26" s="35">
        <v>-24</v>
      </c>
      <c r="D26" s="35">
        <f>-57-C26</f>
        <v>-33</v>
      </c>
      <c r="E26" s="70">
        <f>-27-C26-D26</f>
        <v>30</v>
      </c>
      <c r="F26" s="70">
        <f t="shared" si="0"/>
        <v>1</v>
      </c>
      <c r="G26" s="47">
        <v>-26</v>
      </c>
      <c r="H26" s="70">
        <v>17</v>
      </c>
      <c r="I26" s="70">
        <f>38-H26</f>
        <v>21</v>
      </c>
      <c r="J26" s="70">
        <f>58-H26-I26</f>
        <v>20</v>
      </c>
      <c r="K26" s="35">
        <f t="shared" si="1"/>
        <v>-11</v>
      </c>
      <c r="L26" s="44">
        <v>47</v>
      </c>
      <c r="M26" s="101">
        <v>-17</v>
      </c>
      <c r="N26" s="101">
        <f>-39-M26</f>
        <v>-22</v>
      </c>
      <c r="O26" s="101">
        <f>-11-M26-N26</f>
        <v>28</v>
      </c>
      <c r="P26" s="101">
        <f t="shared" si="2"/>
        <v>-17</v>
      </c>
      <c r="Q26" s="47">
        <v>-28</v>
      </c>
      <c r="R26" s="35">
        <v>-9</v>
      </c>
      <c r="S26" s="73">
        <v>9</v>
      </c>
      <c r="T26" s="101">
        <v>0</v>
      </c>
    </row>
    <row r="27" spans="2:20" s="29" customFormat="1">
      <c r="B27" s="28" t="s">
        <v>134</v>
      </c>
      <c r="C27" s="7">
        <v>0</v>
      </c>
      <c r="D27" s="7">
        <v>0</v>
      </c>
      <c r="E27" s="20">
        <v>-172</v>
      </c>
      <c r="F27" s="20">
        <f t="shared" si="0"/>
        <v>-1</v>
      </c>
      <c r="G27" s="47">
        <v>-173</v>
      </c>
      <c r="H27" s="7">
        <v>0</v>
      </c>
      <c r="I27" s="7">
        <v>0</v>
      </c>
      <c r="J27" s="7">
        <v>0</v>
      </c>
      <c r="K27" s="7">
        <f t="shared" si="1"/>
        <v>0</v>
      </c>
      <c r="L27" s="44">
        <v>0</v>
      </c>
      <c r="M27" s="88">
        <v>0</v>
      </c>
      <c r="N27" s="88">
        <v>0</v>
      </c>
      <c r="O27" s="88">
        <v>0</v>
      </c>
      <c r="P27" s="88">
        <f t="shared" si="2"/>
        <v>0</v>
      </c>
      <c r="Q27" s="64">
        <v>0</v>
      </c>
      <c r="R27" s="7">
        <v>0</v>
      </c>
      <c r="S27" s="66">
        <v>0</v>
      </c>
      <c r="T27" s="91">
        <v>0</v>
      </c>
    </row>
    <row r="28" spans="2:20" s="29" customFormat="1">
      <c r="B28" s="28" t="s">
        <v>135</v>
      </c>
      <c r="C28" s="20">
        <v>-30</v>
      </c>
      <c r="D28" s="7">
        <f>-18-C28</f>
        <v>12</v>
      </c>
      <c r="E28" s="20">
        <f>-38-C28-D28</f>
        <v>-20</v>
      </c>
      <c r="F28" s="7">
        <f t="shared" si="0"/>
        <v>422</v>
      </c>
      <c r="G28" s="44">
        <v>384</v>
      </c>
      <c r="H28" s="7">
        <v>109</v>
      </c>
      <c r="I28" s="20">
        <f>-162-H28</f>
        <v>-271</v>
      </c>
      <c r="J28" s="20">
        <f>-451-I28-H28</f>
        <v>-289</v>
      </c>
      <c r="K28" s="7">
        <f t="shared" si="1"/>
        <v>173</v>
      </c>
      <c r="L28" s="47">
        <v>-278</v>
      </c>
      <c r="M28" s="88">
        <v>106</v>
      </c>
      <c r="N28" s="88">
        <f>156-M28</f>
        <v>50</v>
      </c>
      <c r="O28" s="88">
        <f>37-M28-N28</f>
        <v>-119</v>
      </c>
      <c r="P28" s="88">
        <f t="shared" si="2"/>
        <v>83</v>
      </c>
      <c r="Q28" s="64">
        <v>120</v>
      </c>
      <c r="R28" s="66">
        <v>135</v>
      </c>
      <c r="S28" s="20">
        <v>-71</v>
      </c>
      <c r="T28" s="91">
        <v>22</v>
      </c>
    </row>
    <row r="29" spans="2:20">
      <c r="B29" s="2" t="s">
        <v>98</v>
      </c>
      <c r="C29" s="7">
        <v>552</v>
      </c>
      <c r="D29" s="7">
        <f>968-C29</f>
        <v>416</v>
      </c>
      <c r="E29" s="20">
        <f>818-C29-D29</f>
        <v>-150</v>
      </c>
      <c r="F29" s="20">
        <f t="shared" si="0"/>
        <v>-27</v>
      </c>
      <c r="G29" s="44">
        <v>791</v>
      </c>
      <c r="H29" s="7">
        <v>137</v>
      </c>
      <c r="I29" s="20">
        <f>51-H29</f>
        <v>-86</v>
      </c>
      <c r="J29" s="7">
        <f>81-H29-I29</f>
        <v>30</v>
      </c>
      <c r="K29" s="20">
        <f t="shared" si="1"/>
        <v>-400</v>
      </c>
      <c r="L29" s="47">
        <v>-319</v>
      </c>
      <c r="M29" s="91">
        <v>-86</v>
      </c>
      <c r="N29" s="91">
        <f>-58-M29</f>
        <v>28</v>
      </c>
      <c r="O29" s="91">
        <f>-37-M29-N29</f>
        <v>21</v>
      </c>
      <c r="P29" s="91">
        <f t="shared" si="2"/>
        <v>-125</v>
      </c>
      <c r="Q29" s="47">
        <v>-162</v>
      </c>
      <c r="R29" s="7">
        <v>60</v>
      </c>
      <c r="S29" s="7">
        <v>128</v>
      </c>
      <c r="T29" s="88">
        <v>132</v>
      </c>
    </row>
    <row r="30" spans="2:20">
      <c r="B30" s="2" t="s">
        <v>95</v>
      </c>
      <c r="C30" s="7">
        <v>40</v>
      </c>
      <c r="D30" s="20">
        <f>34-C30</f>
        <v>-6</v>
      </c>
      <c r="E30" s="7">
        <f>166-D30-C30</f>
        <v>132</v>
      </c>
      <c r="F30" s="7">
        <f t="shared" si="0"/>
        <v>87</v>
      </c>
      <c r="G30" s="44">
        <v>253</v>
      </c>
      <c r="H30" s="7">
        <v>212</v>
      </c>
      <c r="I30" s="7">
        <f>314-H30</f>
        <v>102</v>
      </c>
      <c r="J30" s="7">
        <f>347-I30-H30</f>
        <v>33</v>
      </c>
      <c r="K30" s="7">
        <f t="shared" si="1"/>
        <v>175</v>
      </c>
      <c r="L30" s="44">
        <v>522</v>
      </c>
      <c r="M30" s="88">
        <v>81</v>
      </c>
      <c r="N30" s="88">
        <f>106-M30</f>
        <v>25</v>
      </c>
      <c r="O30" s="88">
        <f>100-M30-N30</f>
        <v>-6</v>
      </c>
      <c r="P30" s="88">
        <f t="shared" si="2"/>
        <v>32</v>
      </c>
      <c r="Q30" s="44">
        <v>132</v>
      </c>
      <c r="R30" s="7">
        <v>48</v>
      </c>
      <c r="S30" s="7">
        <v>32</v>
      </c>
      <c r="T30" s="88">
        <v>16</v>
      </c>
    </row>
    <row r="31" spans="2:20">
      <c r="B31" s="2" t="s">
        <v>145</v>
      </c>
      <c r="C31" s="7">
        <v>0</v>
      </c>
      <c r="D31" s="7">
        <v>0</v>
      </c>
      <c r="E31" s="7">
        <v>0</v>
      </c>
      <c r="F31" s="7">
        <v>0</v>
      </c>
      <c r="G31" s="44">
        <v>0</v>
      </c>
      <c r="H31" s="7">
        <v>0</v>
      </c>
      <c r="I31" s="7">
        <v>0</v>
      </c>
      <c r="J31" s="7">
        <v>0</v>
      </c>
      <c r="K31" s="7">
        <v>0</v>
      </c>
      <c r="L31" s="44">
        <v>0</v>
      </c>
      <c r="M31" s="91">
        <v>0</v>
      </c>
      <c r="N31" s="91">
        <f>-147-M31</f>
        <v>-147</v>
      </c>
      <c r="O31" s="91">
        <f>-147-M31-N31</f>
        <v>0</v>
      </c>
      <c r="P31" s="91">
        <f t="shared" si="2"/>
        <v>-153</v>
      </c>
      <c r="Q31" s="47">
        <v>-300</v>
      </c>
      <c r="R31" s="7">
        <v>0</v>
      </c>
      <c r="S31" s="7">
        <v>0</v>
      </c>
      <c r="T31" s="88">
        <v>0</v>
      </c>
    </row>
    <row r="32" spans="2:20">
      <c r="B32" s="2" t="s">
        <v>146</v>
      </c>
      <c r="C32" s="7">
        <v>0</v>
      </c>
      <c r="D32" s="7">
        <v>0</v>
      </c>
      <c r="E32" s="7">
        <v>0</v>
      </c>
      <c r="F32" s="7">
        <v>0</v>
      </c>
      <c r="G32" s="44">
        <v>0</v>
      </c>
      <c r="H32" s="7">
        <v>0</v>
      </c>
      <c r="I32" s="7">
        <v>0</v>
      </c>
      <c r="J32" s="7">
        <v>0</v>
      </c>
      <c r="K32" s="7">
        <v>0</v>
      </c>
      <c r="L32" s="44">
        <v>0</v>
      </c>
      <c r="M32" s="91">
        <v>0</v>
      </c>
      <c r="N32" s="91">
        <f>-92-M32</f>
        <v>-92</v>
      </c>
      <c r="O32" s="91">
        <f>-86-M32-N32</f>
        <v>6</v>
      </c>
      <c r="P32" s="91">
        <f t="shared" si="2"/>
        <v>15</v>
      </c>
      <c r="Q32" s="47">
        <v>-71</v>
      </c>
      <c r="R32" s="20">
        <v>-32</v>
      </c>
      <c r="S32" s="7">
        <v>32</v>
      </c>
      <c r="T32" s="88">
        <v>-20</v>
      </c>
    </row>
    <row r="33" spans="2:20">
      <c r="B33" s="2" t="s">
        <v>149</v>
      </c>
      <c r="C33" s="7">
        <v>0</v>
      </c>
      <c r="D33" s="7">
        <v>0</v>
      </c>
      <c r="E33" s="7">
        <v>0</v>
      </c>
      <c r="F33" s="7">
        <v>0</v>
      </c>
      <c r="G33" s="44">
        <v>0</v>
      </c>
      <c r="H33" s="7">
        <v>0</v>
      </c>
      <c r="I33" s="7">
        <v>0</v>
      </c>
      <c r="J33" s="7">
        <v>0</v>
      </c>
      <c r="K33" s="7">
        <v>0</v>
      </c>
      <c r="L33" s="44">
        <v>0</v>
      </c>
      <c r="M33" s="91">
        <v>0</v>
      </c>
      <c r="N33" s="91">
        <v>0</v>
      </c>
      <c r="O33" s="91">
        <v>0</v>
      </c>
      <c r="P33" s="91">
        <f t="shared" si="2"/>
        <v>-69</v>
      </c>
      <c r="Q33" s="47">
        <v>-69</v>
      </c>
      <c r="R33" s="7">
        <v>0</v>
      </c>
      <c r="S33" s="7">
        <v>0</v>
      </c>
      <c r="T33" s="88">
        <v>0</v>
      </c>
    </row>
    <row r="34" spans="2:20">
      <c r="B34" s="2" t="s">
        <v>189</v>
      </c>
      <c r="C34" s="7">
        <v>0</v>
      </c>
      <c r="D34" s="7">
        <v>0</v>
      </c>
      <c r="E34" s="7">
        <v>0</v>
      </c>
      <c r="F34" s="7">
        <v>0</v>
      </c>
      <c r="G34" s="44">
        <v>0</v>
      </c>
      <c r="H34" s="7">
        <v>0</v>
      </c>
      <c r="I34" s="7">
        <v>0</v>
      </c>
      <c r="J34" s="7">
        <v>0</v>
      </c>
      <c r="K34" s="7">
        <v>0</v>
      </c>
      <c r="L34" s="44">
        <v>0</v>
      </c>
      <c r="M34" s="88">
        <v>0</v>
      </c>
      <c r="N34" s="88">
        <v>0</v>
      </c>
      <c r="O34" s="88">
        <v>0</v>
      </c>
      <c r="P34" s="88">
        <v>0</v>
      </c>
      <c r="Q34" s="44">
        <v>0</v>
      </c>
      <c r="R34" s="20">
        <v>-6772</v>
      </c>
      <c r="S34" s="7">
        <v>0</v>
      </c>
      <c r="T34" s="88">
        <v>0</v>
      </c>
    </row>
    <row r="35" spans="2:20">
      <c r="B35" s="114" t="s">
        <v>192</v>
      </c>
      <c r="C35" s="7">
        <v>0</v>
      </c>
      <c r="D35" s="7">
        <v>0</v>
      </c>
      <c r="E35" s="7">
        <v>0</v>
      </c>
      <c r="F35" s="7">
        <v>0</v>
      </c>
      <c r="G35" s="44">
        <v>0</v>
      </c>
      <c r="H35" s="7">
        <v>0</v>
      </c>
      <c r="I35" s="7">
        <v>0</v>
      </c>
      <c r="J35" s="7">
        <v>0</v>
      </c>
      <c r="K35" s="7">
        <v>0</v>
      </c>
      <c r="L35" s="44">
        <v>0</v>
      </c>
      <c r="M35" s="91">
        <v>0</v>
      </c>
      <c r="N35" s="91">
        <v>0</v>
      </c>
      <c r="O35" s="91">
        <v>0</v>
      </c>
      <c r="P35" s="91">
        <f t="shared" ref="P35" si="3">Q35-SUM(M35:O35)</f>
        <v>-498</v>
      </c>
      <c r="Q35" s="47">
        <v>-498</v>
      </c>
      <c r="R35" s="20">
        <v>-585</v>
      </c>
      <c r="S35" s="20">
        <v>-117</v>
      </c>
      <c r="T35" s="91">
        <v>-81</v>
      </c>
    </row>
    <row r="36" spans="2:20">
      <c r="B36" s="2" t="s">
        <v>94</v>
      </c>
      <c r="C36" s="20">
        <v>-3</v>
      </c>
      <c r="D36" s="20">
        <f>-5-C36</f>
        <v>-2</v>
      </c>
      <c r="E36" s="7">
        <f>-3-D36-C36</f>
        <v>2</v>
      </c>
      <c r="F36" s="7">
        <f t="shared" si="0"/>
        <v>1</v>
      </c>
      <c r="G36" s="47">
        <v>-2</v>
      </c>
      <c r="H36" s="7">
        <v>4</v>
      </c>
      <c r="I36" s="20">
        <f>3-H36</f>
        <v>-1</v>
      </c>
      <c r="J36" s="7">
        <f>8-I36-H36</f>
        <v>5</v>
      </c>
      <c r="K36" s="7">
        <f t="shared" si="1"/>
        <v>0</v>
      </c>
      <c r="L36" s="44">
        <v>8</v>
      </c>
      <c r="M36" s="91">
        <v>0</v>
      </c>
      <c r="N36" s="91">
        <f>6-M36</f>
        <v>6</v>
      </c>
      <c r="O36" s="91">
        <f>5-M36-N36</f>
        <v>-1</v>
      </c>
      <c r="P36" s="91">
        <f t="shared" si="2"/>
        <v>-5</v>
      </c>
      <c r="Q36" s="44">
        <v>0</v>
      </c>
      <c r="R36" s="7">
        <v>0</v>
      </c>
      <c r="S36" s="7">
        <v>0</v>
      </c>
      <c r="T36" s="88">
        <v>0</v>
      </c>
    </row>
    <row r="37" spans="2:20">
      <c r="B37" s="2"/>
      <c r="C37" s="30">
        <f t="shared" ref="C37:O37" si="4">SUM(C9:C36)</f>
        <v>810</v>
      </c>
      <c r="D37" s="30">
        <f t="shared" si="4"/>
        <v>1294</v>
      </c>
      <c r="E37" s="30">
        <f t="shared" si="4"/>
        <v>1117</v>
      </c>
      <c r="F37" s="30">
        <f t="shared" si="4"/>
        <v>948</v>
      </c>
      <c r="G37" s="60">
        <f t="shared" si="4"/>
        <v>4169</v>
      </c>
      <c r="H37" s="30">
        <f t="shared" si="4"/>
        <v>832</v>
      </c>
      <c r="I37" s="30">
        <f t="shared" si="4"/>
        <v>746</v>
      </c>
      <c r="J37" s="30">
        <f t="shared" si="4"/>
        <v>893</v>
      </c>
      <c r="K37" s="30">
        <f t="shared" si="4"/>
        <v>1223</v>
      </c>
      <c r="L37" s="60">
        <f t="shared" si="4"/>
        <v>3694</v>
      </c>
      <c r="M37" s="102">
        <f t="shared" si="4"/>
        <v>807</v>
      </c>
      <c r="N37" s="102">
        <f t="shared" si="4"/>
        <v>945</v>
      </c>
      <c r="O37" s="102">
        <f t="shared" si="4"/>
        <v>848</v>
      </c>
      <c r="P37" s="102">
        <f t="shared" ref="P37:Q37" si="5">SUM(P9:P36)</f>
        <v>662</v>
      </c>
      <c r="Q37" s="60">
        <f t="shared" si="5"/>
        <v>3262</v>
      </c>
      <c r="R37" s="30">
        <f>SUM(R9:R36)</f>
        <v>385</v>
      </c>
      <c r="S37" s="30">
        <f>SUM(S9:S36)</f>
        <v>1083</v>
      </c>
      <c r="T37" s="102">
        <f>SUM(T9:T36)</f>
        <v>1069</v>
      </c>
    </row>
    <row r="38" spans="2:20">
      <c r="B38" s="1" t="s">
        <v>96</v>
      </c>
      <c r="C38" s="7"/>
      <c r="D38" s="7"/>
      <c r="E38" s="7"/>
      <c r="F38" s="7"/>
      <c r="G38" s="44"/>
      <c r="H38" s="7"/>
      <c r="I38" s="7"/>
      <c r="J38" s="7"/>
      <c r="K38" s="7"/>
      <c r="L38" s="44"/>
      <c r="M38" s="88"/>
      <c r="N38" s="88"/>
      <c r="O38" s="88"/>
      <c r="P38" s="88"/>
      <c r="Q38" s="44"/>
      <c r="R38" s="7"/>
      <c r="S38" s="7"/>
      <c r="T38" s="88"/>
    </row>
    <row r="39" spans="2:20">
      <c r="B39" s="2" t="s">
        <v>97</v>
      </c>
      <c r="C39" s="7">
        <v>1389</v>
      </c>
      <c r="D39" s="7">
        <f>1701-C39</f>
        <v>312</v>
      </c>
      <c r="E39" s="20">
        <f>1101-C39-D39</f>
        <v>-600</v>
      </c>
      <c r="F39" s="7">
        <f t="shared" ref="F39:F45" si="6">G39-SUM(C39:E39)</f>
        <v>653</v>
      </c>
      <c r="G39" s="44">
        <v>1754</v>
      </c>
      <c r="H39" s="7">
        <v>76</v>
      </c>
      <c r="I39" s="20">
        <f>-277-H39</f>
        <v>-353</v>
      </c>
      <c r="J39" s="7">
        <f>-254-H39-I39</f>
        <v>23</v>
      </c>
      <c r="K39" s="7">
        <f t="shared" ref="K39:K45" si="7">L39-SUM(H39:J39)</f>
        <v>696</v>
      </c>
      <c r="L39" s="44">
        <v>442</v>
      </c>
      <c r="M39" s="91">
        <v>562</v>
      </c>
      <c r="N39" s="91">
        <f>921-M39</f>
        <v>359</v>
      </c>
      <c r="O39" s="91">
        <f>581-N39-M39</f>
        <v>-340</v>
      </c>
      <c r="P39" s="91">
        <f t="shared" ref="P39:P45" si="8">Q39-SUM(M39:O39)</f>
        <v>-235</v>
      </c>
      <c r="Q39" s="44">
        <v>346</v>
      </c>
      <c r="R39" s="20">
        <v>-302</v>
      </c>
      <c r="S39" s="20">
        <v>-958</v>
      </c>
      <c r="T39" s="91">
        <v>995</v>
      </c>
    </row>
    <row r="40" spans="2:20">
      <c r="B40" s="2" t="s">
        <v>98</v>
      </c>
      <c r="C40" s="7">
        <v>9</v>
      </c>
      <c r="D40" s="7">
        <f>13-C40</f>
        <v>4</v>
      </c>
      <c r="E40" s="20">
        <f>-21-D40-C40</f>
        <v>-34</v>
      </c>
      <c r="F40" s="20">
        <f t="shared" si="6"/>
        <v>-51</v>
      </c>
      <c r="G40" s="47">
        <v>-72</v>
      </c>
      <c r="H40" s="20">
        <v>-37</v>
      </c>
      <c r="I40" s="20">
        <f>-58-H40</f>
        <v>-21</v>
      </c>
      <c r="J40" s="20">
        <f>-145-H40-I40</f>
        <v>-87</v>
      </c>
      <c r="K40" s="20">
        <f t="shared" si="7"/>
        <v>-57</v>
      </c>
      <c r="L40" s="47">
        <v>-202</v>
      </c>
      <c r="M40" s="91">
        <v>-60</v>
      </c>
      <c r="N40" s="91">
        <f>-58-M40</f>
        <v>2</v>
      </c>
      <c r="O40" s="91">
        <f>-37-M40-N40</f>
        <v>21</v>
      </c>
      <c r="P40" s="91">
        <f t="shared" si="8"/>
        <v>-55</v>
      </c>
      <c r="Q40" s="47">
        <v>-92</v>
      </c>
      <c r="R40" s="7">
        <v>3</v>
      </c>
      <c r="S40" s="20">
        <v>-40</v>
      </c>
      <c r="T40" s="91">
        <v>-76</v>
      </c>
    </row>
    <row r="41" spans="2:20">
      <c r="B41" s="2" t="s">
        <v>100</v>
      </c>
      <c r="C41" s="7">
        <v>379</v>
      </c>
      <c r="D41" s="20">
        <f>362-C41</f>
        <v>-17</v>
      </c>
      <c r="E41" s="20">
        <f>244-C41-D41</f>
        <v>-118</v>
      </c>
      <c r="F41" s="7">
        <f t="shared" si="6"/>
        <v>278</v>
      </c>
      <c r="G41" s="44">
        <v>522</v>
      </c>
      <c r="H41" s="20">
        <v>-172</v>
      </c>
      <c r="I41" s="20">
        <f>-444-H41</f>
        <v>-272</v>
      </c>
      <c r="J41" s="20">
        <f>-779-I41-H41</f>
        <v>-335</v>
      </c>
      <c r="K41" s="7">
        <f t="shared" si="7"/>
        <v>359</v>
      </c>
      <c r="L41" s="47">
        <v>-420</v>
      </c>
      <c r="M41" s="88">
        <v>-481</v>
      </c>
      <c r="N41" s="88">
        <f>-781-M41</f>
        <v>-300</v>
      </c>
      <c r="O41" s="88">
        <f>-906-M41-N41</f>
        <v>-125</v>
      </c>
      <c r="P41" s="88">
        <f t="shared" si="8"/>
        <v>738</v>
      </c>
      <c r="Q41" s="47">
        <v>-168</v>
      </c>
      <c r="R41" s="20">
        <v>-137</v>
      </c>
      <c r="S41" s="20">
        <v>-309</v>
      </c>
      <c r="T41" s="91">
        <v>186</v>
      </c>
    </row>
    <row r="42" spans="2:20">
      <c r="B42" s="2" t="s">
        <v>99</v>
      </c>
      <c r="C42" s="20">
        <v>-64</v>
      </c>
      <c r="D42" s="7">
        <f>224-C42</f>
        <v>288</v>
      </c>
      <c r="E42" s="20">
        <f>216-D42-C42</f>
        <v>-8</v>
      </c>
      <c r="F42" s="7">
        <f t="shared" si="6"/>
        <v>106</v>
      </c>
      <c r="G42" s="44">
        <v>322</v>
      </c>
      <c r="H42" s="20">
        <v>-53</v>
      </c>
      <c r="I42" s="7">
        <f>17-H42</f>
        <v>70</v>
      </c>
      <c r="J42" s="7">
        <f>115-I42-H42</f>
        <v>98</v>
      </c>
      <c r="K42" s="20">
        <f t="shared" si="7"/>
        <v>-245</v>
      </c>
      <c r="L42" s="47">
        <v>-130</v>
      </c>
      <c r="M42" s="88">
        <v>-257</v>
      </c>
      <c r="N42" s="88">
        <f>-588-M42</f>
        <v>-331</v>
      </c>
      <c r="O42" s="88">
        <f>-633-M42-N42</f>
        <v>-45</v>
      </c>
      <c r="P42" s="88">
        <f t="shared" si="8"/>
        <v>340</v>
      </c>
      <c r="Q42" s="47">
        <v>-293</v>
      </c>
      <c r="R42" s="20">
        <v>-199</v>
      </c>
      <c r="S42" s="20">
        <v>-14</v>
      </c>
      <c r="T42" s="91">
        <v>-13</v>
      </c>
    </row>
    <row r="43" spans="2:20">
      <c r="B43" s="2" t="s">
        <v>133</v>
      </c>
      <c r="C43" s="7">
        <v>150</v>
      </c>
      <c r="D43" s="7">
        <f>253-C43</f>
        <v>103</v>
      </c>
      <c r="E43" s="7">
        <f>288-C43-D43</f>
        <v>35</v>
      </c>
      <c r="F43" s="20">
        <f t="shared" si="6"/>
        <v>-117</v>
      </c>
      <c r="G43" s="44">
        <v>171</v>
      </c>
      <c r="H43" s="7">
        <v>46</v>
      </c>
      <c r="I43" s="7">
        <f>108-H43</f>
        <v>62</v>
      </c>
      <c r="J43" s="20">
        <f>45-H43-I43</f>
        <v>-63</v>
      </c>
      <c r="K43" s="20">
        <f t="shared" si="7"/>
        <v>-33</v>
      </c>
      <c r="L43" s="44">
        <v>12</v>
      </c>
      <c r="M43" s="88">
        <v>80</v>
      </c>
      <c r="N43" s="88">
        <f>-40-M43</f>
        <v>-120</v>
      </c>
      <c r="O43" s="88">
        <f>-267-N43-M43</f>
        <v>-227</v>
      </c>
      <c r="P43" s="88">
        <f t="shared" si="8"/>
        <v>5</v>
      </c>
      <c r="Q43" s="47">
        <v>-262</v>
      </c>
      <c r="R43" s="20">
        <v>-62</v>
      </c>
      <c r="S43" s="20">
        <v>-201</v>
      </c>
      <c r="T43" s="91">
        <v>219</v>
      </c>
    </row>
    <row r="44" spans="2:20">
      <c r="B44" s="2" t="s">
        <v>101</v>
      </c>
      <c r="C44" s="20">
        <v>-113</v>
      </c>
      <c r="D44" s="20">
        <f>-193-C44</f>
        <v>-80</v>
      </c>
      <c r="E44" s="7">
        <f>-154-C44-D44</f>
        <v>39</v>
      </c>
      <c r="F44" s="7">
        <f t="shared" si="6"/>
        <v>474</v>
      </c>
      <c r="G44" s="44">
        <v>320</v>
      </c>
      <c r="H44" s="7">
        <v>24</v>
      </c>
      <c r="I44" s="7">
        <f>344-H44</f>
        <v>320</v>
      </c>
      <c r="J44" s="7">
        <f>441-H44-I44</f>
        <v>97</v>
      </c>
      <c r="K44" s="20">
        <f t="shared" si="7"/>
        <v>-46</v>
      </c>
      <c r="L44" s="44">
        <v>395</v>
      </c>
      <c r="M44" s="88">
        <v>-79</v>
      </c>
      <c r="N44" s="88">
        <f>-180-M44</f>
        <v>-101</v>
      </c>
      <c r="O44" s="88">
        <f>-173-M44-N44</f>
        <v>7</v>
      </c>
      <c r="P44" s="88">
        <f t="shared" si="8"/>
        <v>156</v>
      </c>
      <c r="Q44" s="47">
        <v>-17</v>
      </c>
      <c r="R44" s="20">
        <v>-113</v>
      </c>
      <c r="S44" s="20">
        <v>-3</v>
      </c>
      <c r="T44" s="91">
        <v>-106</v>
      </c>
    </row>
    <row r="45" spans="2:20">
      <c r="B45" s="2" t="s">
        <v>102</v>
      </c>
      <c r="C45" s="7">
        <v>5</v>
      </c>
      <c r="D45" s="7">
        <f>52-C45</f>
        <v>47</v>
      </c>
      <c r="E45" s="7">
        <f>74-C45-D45</f>
        <v>22</v>
      </c>
      <c r="F45" s="20">
        <f t="shared" si="6"/>
        <v>-185</v>
      </c>
      <c r="G45" s="47">
        <v>-111</v>
      </c>
      <c r="H45" s="7">
        <v>252</v>
      </c>
      <c r="I45" s="20">
        <f>236-H45</f>
        <v>-16</v>
      </c>
      <c r="J45" s="7">
        <f>471-I45-H45</f>
        <v>235</v>
      </c>
      <c r="K45" s="20">
        <f t="shared" si="7"/>
        <v>-829</v>
      </c>
      <c r="L45" s="47">
        <v>-358</v>
      </c>
      <c r="M45" s="88">
        <v>-180</v>
      </c>
      <c r="N45" s="88">
        <f>52-M45</f>
        <v>232</v>
      </c>
      <c r="O45" s="88">
        <f>-38-M45-N45</f>
        <v>-90</v>
      </c>
      <c r="P45" s="88">
        <f t="shared" si="8"/>
        <v>88</v>
      </c>
      <c r="Q45" s="44">
        <v>50</v>
      </c>
      <c r="R45" s="7">
        <v>264</v>
      </c>
      <c r="S45" s="20">
        <v>-114</v>
      </c>
      <c r="T45" s="91">
        <v>-153</v>
      </c>
    </row>
    <row r="46" spans="2:20">
      <c r="B46" s="1" t="s">
        <v>103</v>
      </c>
      <c r="C46" s="7"/>
      <c r="D46" s="7"/>
      <c r="E46" s="7"/>
      <c r="F46" s="7"/>
      <c r="G46" s="44"/>
      <c r="H46" s="7"/>
      <c r="I46" s="7"/>
      <c r="J46" s="7"/>
      <c r="K46" s="7"/>
      <c r="L46" s="44"/>
      <c r="M46" s="88"/>
      <c r="N46" s="88"/>
      <c r="O46" s="88"/>
      <c r="P46" s="88"/>
      <c r="Q46" s="44"/>
      <c r="R46" s="7"/>
      <c r="S46" s="7"/>
      <c r="T46" s="88"/>
    </row>
    <row r="47" spans="2:20">
      <c r="B47" s="2" t="s">
        <v>104</v>
      </c>
      <c r="C47" s="20">
        <v>-195</v>
      </c>
      <c r="D47" s="20">
        <f>-305-C47</f>
        <v>-110</v>
      </c>
      <c r="E47" s="20">
        <f>-423-C47-D47</f>
        <v>-118</v>
      </c>
      <c r="F47" s="7">
        <f t="shared" ref="F47:F51" si="9">G47-SUM(C47:E47)</f>
        <v>123</v>
      </c>
      <c r="G47" s="47">
        <v>-300</v>
      </c>
      <c r="H47" s="20">
        <v>-376</v>
      </c>
      <c r="I47" s="7">
        <f>83-H47</f>
        <v>459</v>
      </c>
      <c r="J47" s="7">
        <f>136-I47-H47</f>
        <v>53</v>
      </c>
      <c r="K47" s="7">
        <f>L47-SUM(H47:J47)</f>
        <v>494</v>
      </c>
      <c r="L47" s="44">
        <v>630</v>
      </c>
      <c r="M47" s="88">
        <v>-183</v>
      </c>
      <c r="N47" s="88">
        <f>449-M47</f>
        <v>632</v>
      </c>
      <c r="O47" s="88">
        <f>642-M47-N47</f>
        <v>193</v>
      </c>
      <c r="P47" s="88">
        <f>Q47-SUM(M47:O47)</f>
        <v>136</v>
      </c>
      <c r="Q47" s="44">
        <v>778</v>
      </c>
      <c r="R47" s="20">
        <v>-644</v>
      </c>
      <c r="S47" s="7">
        <v>130</v>
      </c>
      <c r="T47" s="88">
        <v>308</v>
      </c>
    </row>
    <row r="48" spans="2:20">
      <c r="B48" s="2" t="s">
        <v>106</v>
      </c>
      <c r="C48" s="20">
        <v>-259</v>
      </c>
      <c r="D48" s="7">
        <f>-195-C48</f>
        <v>64</v>
      </c>
      <c r="E48" s="7">
        <f>-59-D48-C48</f>
        <v>136</v>
      </c>
      <c r="F48" s="7">
        <f t="shared" si="9"/>
        <v>39</v>
      </c>
      <c r="G48" s="47">
        <f>-20</f>
        <v>-20</v>
      </c>
      <c r="H48" s="20">
        <v>-322</v>
      </c>
      <c r="I48" s="7">
        <f>-185-H48</f>
        <v>137</v>
      </c>
      <c r="J48" s="7">
        <f>-27-H48-I48</f>
        <v>158</v>
      </c>
      <c r="K48" s="7">
        <f>L48-SUM(H48:J48)</f>
        <v>74</v>
      </c>
      <c r="L48" s="44">
        <v>47</v>
      </c>
      <c r="M48" s="91">
        <v>-340</v>
      </c>
      <c r="N48" s="91">
        <f>-153-M48</f>
        <v>187</v>
      </c>
      <c r="O48" s="91">
        <f>-8-M48-N48</f>
        <v>145</v>
      </c>
      <c r="P48" s="91">
        <f>Q48-SUM(M48:O48)</f>
        <v>-42</v>
      </c>
      <c r="Q48" s="47">
        <v>-50</v>
      </c>
      <c r="R48" s="20">
        <v>-258</v>
      </c>
      <c r="S48" s="7">
        <v>114</v>
      </c>
      <c r="T48" s="88">
        <v>138</v>
      </c>
    </row>
    <row r="49" spans="2:20">
      <c r="B49" s="2" t="s">
        <v>105</v>
      </c>
      <c r="C49" s="7">
        <v>43</v>
      </c>
      <c r="D49" s="7">
        <f>85-C49</f>
        <v>42</v>
      </c>
      <c r="E49" s="7">
        <f>96-C49-D49</f>
        <v>11</v>
      </c>
      <c r="F49" s="7">
        <f t="shared" si="9"/>
        <v>9</v>
      </c>
      <c r="G49" s="44">
        <v>105</v>
      </c>
      <c r="H49" s="7">
        <v>12</v>
      </c>
      <c r="I49" s="20">
        <f>-23-H49</f>
        <v>-35</v>
      </c>
      <c r="J49" s="20">
        <f>-58-H49-I49</f>
        <v>-35</v>
      </c>
      <c r="K49" s="20">
        <f>L49-SUM(H49:J49)</f>
        <v>-26</v>
      </c>
      <c r="L49" s="47">
        <v>-84</v>
      </c>
      <c r="M49" s="91">
        <v>-14</v>
      </c>
      <c r="N49" s="91">
        <f>123-M49</f>
        <v>137</v>
      </c>
      <c r="O49" s="91">
        <f>189-M49-N49</f>
        <v>66</v>
      </c>
      <c r="P49" s="91">
        <f>Q49-SUM(M49:O49)</f>
        <v>-202</v>
      </c>
      <c r="Q49" s="47">
        <v>-13</v>
      </c>
      <c r="R49" s="20">
        <v>-2</v>
      </c>
      <c r="S49" s="20">
        <v>-13</v>
      </c>
      <c r="T49" s="91">
        <v>2</v>
      </c>
    </row>
    <row r="50" spans="2:20">
      <c r="B50" s="2" t="s">
        <v>107</v>
      </c>
      <c r="C50" s="20">
        <v>-89</v>
      </c>
      <c r="D50" s="20">
        <f>-170-C50</f>
        <v>-81</v>
      </c>
      <c r="E50" s="20">
        <f>-220-C50-D50</f>
        <v>-50</v>
      </c>
      <c r="F50" s="7">
        <f t="shared" si="9"/>
        <v>118</v>
      </c>
      <c r="G50" s="47">
        <v>-102</v>
      </c>
      <c r="H50" s="7">
        <v>91</v>
      </c>
      <c r="I50" s="7">
        <f>121-H50</f>
        <v>30</v>
      </c>
      <c r="J50" s="7">
        <f>374-I50-H50</f>
        <v>253</v>
      </c>
      <c r="K50" s="20">
        <f>L50-SUM(H50:J50)</f>
        <v>-214</v>
      </c>
      <c r="L50" s="44">
        <v>160</v>
      </c>
      <c r="M50" s="91">
        <v>-169</v>
      </c>
      <c r="N50" s="91">
        <f>-20-M50</f>
        <v>149</v>
      </c>
      <c r="O50" s="91">
        <f>71-M50-N50</f>
        <v>91</v>
      </c>
      <c r="P50" s="91">
        <f>Q50-SUM(M50:O50)</f>
        <v>-40</v>
      </c>
      <c r="Q50" s="44">
        <v>31</v>
      </c>
      <c r="R50" s="7">
        <v>10</v>
      </c>
      <c r="S50" s="7">
        <v>3</v>
      </c>
      <c r="T50" s="88">
        <v>9</v>
      </c>
    </row>
    <row r="51" spans="2:20">
      <c r="B51" s="2" t="s">
        <v>108</v>
      </c>
      <c r="C51" s="20">
        <f>-253-77</f>
        <v>-330</v>
      </c>
      <c r="D51" s="20">
        <f>-607-C51</f>
        <v>-277</v>
      </c>
      <c r="E51" s="20">
        <f>-615-C51-D51</f>
        <v>-8</v>
      </c>
      <c r="F51" s="7">
        <f t="shared" si="9"/>
        <v>919</v>
      </c>
      <c r="G51" s="44">
        <v>304</v>
      </c>
      <c r="H51" s="20">
        <f>-58-326</f>
        <v>-384</v>
      </c>
      <c r="I51" s="20">
        <f>-734-H51</f>
        <v>-350</v>
      </c>
      <c r="J51" s="20">
        <f>-184-I51-H51-90-584</f>
        <v>-124</v>
      </c>
      <c r="K51" s="7">
        <f>L51-SUM(H51:J51)</f>
        <v>1029</v>
      </c>
      <c r="L51" s="44">
        <v>171</v>
      </c>
      <c r="M51" s="91">
        <v>314</v>
      </c>
      <c r="N51" s="91">
        <f>-34-M51</f>
        <v>-348</v>
      </c>
      <c r="O51" s="91">
        <f>445-M51-N51</f>
        <v>479</v>
      </c>
      <c r="P51" s="91">
        <f>Q51-SUM(M51:O51)</f>
        <v>-245</v>
      </c>
      <c r="Q51" s="44">
        <v>200</v>
      </c>
      <c r="R51" s="20">
        <v>-403</v>
      </c>
      <c r="S51" s="7">
        <v>42</v>
      </c>
      <c r="T51" s="88">
        <v>113</v>
      </c>
    </row>
    <row r="52" spans="2:20" s="16" customFormat="1">
      <c r="B52" s="1" t="s">
        <v>109</v>
      </c>
      <c r="C52" s="27">
        <f t="shared" ref="C52:Q52" si="10">SUM(C37:C51)</f>
        <v>1735</v>
      </c>
      <c r="D52" s="27">
        <f t="shared" si="10"/>
        <v>1589</v>
      </c>
      <c r="E52" s="27">
        <f t="shared" si="10"/>
        <v>424</v>
      </c>
      <c r="F52" s="27">
        <f t="shared" si="10"/>
        <v>3314</v>
      </c>
      <c r="G52" s="61">
        <f t="shared" si="10"/>
        <v>7062</v>
      </c>
      <c r="H52" s="34">
        <f t="shared" si="10"/>
        <v>-11</v>
      </c>
      <c r="I52" s="27">
        <f t="shared" si="10"/>
        <v>777</v>
      </c>
      <c r="J52" s="27">
        <f t="shared" si="10"/>
        <v>1166</v>
      </c>
      <c r="K52" s="27">
        <f t="shared" si="10"/>
        <v>2425</v>
      </c>
      <c r="L52" s="61">
        <f t="shared" si="10"/>
        <v>4357</v>
      </c>
      <c r="M52" s="99">
        <f t="shared" si="10"/>
        <v>0</v>
      </c>
      <c r="N52" s="99">
        <f t="shared" si="10"/>
        <v>1443</v>
      </c>
      <c r="O52" s="99">
        <f t="shared" si="10"/>
        <v>1023</v>
      </c>
      <c r="P52" s="99">
        <f t="shared" si="10"/>
        <v>1306</v>
      </c>
      <c r="Q52" s="61">
        <f t="shared" si="10"/>
        <v>3772</v>
      </c>
      <c r="R52" s="34">
        <f t="shared" ref="R52:S52" si="11">SUM(R37:R51)</f>
        <v>-1458</v>
      </c>
      <c r="S52" s="34">
        <f t="shared" si="11"/>
        <v>-280</v>
      </c>
      <c r="T52" s="90">
        <f t="shared" ref="T52" si="12">SUM(T37:T51)</f>
        <v>2691</v>
      </c>
    </row>
    <row r="53" spans="2:20">
      <c r="B53" s="1"/>
      <c r="C53" s="7"/>
      <c r="D53" s="7"/>
      <c r="E53" s="7"/>
      <c r="F53" s="7"/>
      <c r="G53" s="44"/>
      <c r="H53" s="7"/>
      <c r="I53" s="7"/>
      <c r="J53" s="7"/>
      <c r="K53" s="7"/>
      <c r="L53" s="44"/>
      <c r="M53" s="88"/>
      <c r="N53" s="88"/>
      <c r="O53" s="88"/>
      <c r="P53" s="88"/>
      <c r="Q53" s="44"/>
      <c r="R53" s="7"/>
      <c r="S53" s="7"/>
      <c r="T53" s="88"/>
    </row>
    <row r="54" spans="2:20">
      <c r="B54" s="2" t="s">
        <v>129</v>
      </c>
      <c r="C54" s="20">
        <v>-332</v>
      </c>
      <c r="D54" s="20">
        <f>-946-C54</f>
        <v>-614</v>
      </c>
      <c r="E54" s="20">
        <f>-1228-C54-D54</f>
        <v>-282</v>
      </c>
      <c r="F54" s="20">
        <f t="shared" ref="F54:F55" si="13">G54-SUM(C54:E54)</f>
        <v>-551</v>
      </c>
      <c r="G54" s="47">
        <v>-1779</v>
      </c>
      <c r="H54" s="20">
        <v>-325</v>
      </c>
      <c r="I54" s="20">
        <f>-728-H54</f>
        <v>-403</v>
      </c>
      <c r="J54" s="20">
        <f>-1195-I54-H54</f>
        <v>-467</v>
      </c>
      <c r="K54" s="20">
        <f>L54-SUM(H54:J54)</f>
        <v>-363</v>
      </c>
      <c r="L54" s="47">
        <v>-1558</v>
      </c>
      <c r="M54" s="91">
        <v>-291</v>
      </c>
      <c r="N54" s="91">
        <f>-725-M54</f>
        <v>-434</v>
      </c>
      <c r="O54" s="91">
        <f>-1002-M54-N54</f>
        <v>-277</v>
      </c>
      <c r="P54" s="91">
        <f>Q54-SUM(M54:O54)</f>
        <v>-459</v>
      </c>
      <c r="Q54" s="47">
        <v>-1461</v>
      </c>
      <c r="R54" s="20">
        <v>-293</v>
      </c>
      <c r="S54" s="20">
        <v>-363</v>
      </c>
      <c r="T54" s="91">
        <v>-227</v>
      </c>
    </row>
    <row r="55" spans="2:20">
      <c r="B55" s="2" t="s">
        <v>110</v>
      </c>
      <c r="C55" s="20">
        <v>-149</v>
      </c>
      <c r="D55" s="20">
        <f>-239-C55</f>
        <v>-90</v>
      </c>
      <c r="E55" s="20">
        <f>-347-C55-D55</f>
        <v>-108</v>
      </c>
      <c r="F55" s="20">
        <f t="shared" si="13"/>
        <v>-144</v>
      </c>
      <c r="G55" s="47">
        <v>-491</v>
      </c>
      <c r="H55" s="20">
        <v>-152</v>
      </c>
      <c r="I55" s="20">
        <f>-297-H55</f>
        <v>-145</v>
      </c>
      <c r="J55" s="20">
        <f>-408-I55-H55</f>
        <v>-111</v>
      </c>
      <c r="K55" s="20">
        <f>L55-SUM(H55:J55)</f>
        <v>-280</v>
      </c>
      <c r="L55" s="47">
        <v>-688</v>
      </c>
      <c r="M55" s="91">
        <v>-239</v>
      </c>
      <c r="N55" s="91">
        <f>-421-M55</f>
        <v>-182</v>
      </c>
      <c r="O55" s="91">
        <f>-552-M55-N55</f>
        <v>-131</v>
      </c>
      <c r="P55" s="91">
        <f>Q55-SUM(M55:O55)</f>
        <v>-62</v>
      </c>
      <c r="Q55" s="47">
        <v>-614</v>
      </c>
      <c r="R55" s="20">
        <v>-1252</v>
      </c>
      <c r="S55" s="20">
        <v>-38</v>
      </c>
      <c r="T55" s="91">
        <v>-89</v>
      </c>
    </row>
    <row r="56" spans="2:20" s="16" customFormat="1">
      <c r="B56" s="12" t="s">
        <v>111</v>
      </c>
      <c r="C56" s="14">
        <f t="shared" ref="C56:R56" si="14">SUM(C52:C55)</f>
        <v>1254</v>
      </c>
      <c r="D56" s="14">
        <f t="shared" si="14"/>
        <v>885</v>
      </c>
      <c r="E56" s="14">
        <f t="shared" si="14"/>
        <v>34</v>
      </c>
      <c r="F56" s="14">
        <f t="shared" si="14"/>
        <v>2619</v>
      </c>
      <c r="G56" s="57">
        <f t="shared" si="14"/>
        <v>4792</v>
      </c>
      <c r="H56" s="31">
        <f t="shared" si="14"/>
        <v>-488</v>
      </c>
      <c r="I56" s="14">
        <f t="shared" si="14"/>
        <v>229</v>
      </c>
      <c r="J56" s="14">
        <f t="shared" si="14"/>
        <v>588</v>
      </c>
      <c r="K56" s="14">
        <f t="shared" si="14"/>
        <v>1782</v>
      </c>
      <c r="L56" s="57">
        <f t="shared" si="14"/>
        <v>2111</v>
      </c>
      <c r="M56" s="94">
        <f t="shared" si="14"/>
        <v>-530</v>
      </c>
      <c r="N56" s="94">
        <f t="shared" si="14"/>
        <v>827</v>
      </c>
      <c r="O56" s="94">
        <f t="shared" si="14"/>
        <v>615</v>
      </c>
      <c r="P56" s="94">
        <f t="shared" si="14"/>
        <v>785</v>
      </c>
      <c r="Q56" s="57">
        <f t="shared" si="14"/>
        <v>1697</v>
      </c>
      <c r="R56" s="67">
        <f t="shared" si="14"/>
        <v>-3003</v>
      </c>
      <c r="S56" s="67">
        <f t="shared" ref="S56:T56" si="15">SUM(S52:S55)</f>
        <v>-681</v>
      </c>
      <c r="T56" s="103">
        <f t="shared" si="15"/>
        <v>2375</v>
      </c>
    </row>
    <row r="57" spans="2:20">
      <c r="B57" s="2"/>
      <c r="C57" s="7"/>
      <c r="D57" s="7"/>
      <c r="E57" s="7"/>
      <c r="F57" s="7"/>
      <c r="G57" s="44"/>
      <c r="H57" s="7"/>
      <c r="I57" s="7"/>
      <c r="J57" s="7"/>
      <c r="K57" s="7"/>
      <c r="L57" s="44"/>
      <c r="M57" s="88"/>
      <c r="N57" s="88"/>
      <c r="O57" s="88"/>
      <c r="P57" s="88"/>
      <c r="Q57" s="44"/>
      <c r="R57" s="7"/>
      <c r="S57" s="7"/>
      <c r="T57" s="88"/>
    </row>
    <row r="58" spans="2:20">
      <c r="B58" s="1" t="s">
        <v>112</v>
      </c>
      <c r="C58" s="7"/>
      <c r="D58" s="7"/>
      <c r="E58" s="7"/>
      <c r="F58" s="7"/>
      <c r="G58" s="44"/>
      <c r="H58" s="7"/>
      <c r="I58" s="7"/>
      <c r="J58" s="7"/>
      <c r="K58" s="7"/>
      <c r="L58" s="44"/>
      <c r="M58" s="88"/>
      <c r="N58" s="88"/>
      <c r="O58" s="88"/>
      <c r="P58" s="88"/>
      <c r="Q58" s="44"/>
      <c r="R58" s="7"/>
      <c r="S58" s="7"/>
      <c r="T58" s="88"/>
    </row>
    <row r="59" spans="2:20">
      <c r="B59" s="2" t="s">
        <v>113</v>
      </c>
      <c r="C59" s="7">
        <v>59</v>
      </c>
      <c r="D59" s="7">
        <f>90-C59</f>
        <v>31</v>
      </c>
      <c r="E59" s="7">
        <f>127-C59-D59</f>
        <v>37</v>
      </c>
      <c r="F59" s="7">
        <f t="shared" ref="F59:F67" si="16">G59-SUM(C59:E59)</f>
        <v>252</v>
      </c>
      <c r="G59" s="44">
        <v>379</v>
      </c>
      <c r="H59" s="20">
        <v>-29</v>
      </c>
      <c r="I59" s="7">
        <f>30-H59</f>
        <v>59</v>
      </c>
      <c r="J59" s="7">
        <f>55-I59-H59</f>
        <v>25</v>
      </c>
      <c r="K59" s="7">
        <f t="shared" ref="K59:K67" si="17">L59-SUM(H59:J59)</f>
        <v>123</v>
      </c>
      <c r="L59" s="44">
        <v>178</v>
      </c>
      <c r="M59" s="88">
        <v>51</v>
      </c>
      <c r="N59" s="88">
        <f>96-M59</f>
        <v>45</v>
      </c>
      <c r="O59" s="88">
        <f>148-M59-N59</f>
        <v>52</v>
      </c>
      <c r="P59" s="88">
        <f t="shared" ref="P59:P67" si="18">Q59-SUM(M59:O59)</f>
        <v>29</v>
      </c>
      <c r="Q59" s="44">
        <v>177</v>
      </c>
      <c r="R59" s="7">
        <v>7</v>
      </c>
      <c r="S59" s="7">
        <v>51</v>
      </c>
      <c r="T59" s="88">
        <v>81</v>
      </c>
    </row>
    <row r="60" spans="2:20">
      <c r="B60" s="2" t="s">
        <v>141</v>
      </c>
      <c r="C60" s="7">
        <v>0</v>
      </c>
      <c r="D60" s="7">
        <v>0</v>
      </c>
      <c r="E60" s="7">
        <v>0</v>
      </c>
      <c r="F60" s="7">
        <v>0</v>
      </c>
      <c r="G60" s="44">
        <v>0</v>
      </c>
      <c r="H60" s="7">
        <v>0</v>
      </c>
      <c r="I60" s="7">
        <v>0</v>
      </c>
      <c r="J60" s="7">
        <v>0</v>
      </c>
      <c r="K60" s="7">
        <f t="shared" si="17"/>
        <v>1009</v>
      </c>
      <c r="L60" s="44">
        <v>1009</v>
      </c>
      <c r="M60" s="88">
        <v>0</v>
      </c>
      <c r="N60" s="88">
        <v>0</v>
      </c>
      <c r="O60" s="88">
        <v>0</v>
      </c>
      <c r="P60" s="88">
        <f t="shared" si="18"/>
        <v>0</v>
      </c>
      <c r="Q60" s="44">
        <v>0</v>
      </c>
      <c r="R60" s="7">
        <v>0</v>
      </c>
      <c r="S60" s="7">
        <v>0</v>
      </c>
      <c r="T60" s="88">
        <v>0</v>
      </c>
    </row>
    <row r="61" spans="2:20">
      <c r="B61" s="2" t="s">
        <v>140</v>
      </c>
      <c r="C61" s="7">
        <v>0</v>
      </c>
      <c r="D61" s="7">
        <v>0</v>
      </c>
      <c r="E61" s="7">
        <v>0</v>
      </c>
      <c r="F61" s="7">
        <v>0</v>
      </c>
      <c r="G61" s="44">
        <v>0</v>
      </c>
      <c r="H61" s="7">
        <v>0</v>
      </c>
      <c r="I61" s="7">
        <v>0</v>
      </c>
      <c r="J61" s="7">
        <v>0</v>
      </c>
      <c r="K61" s="7">
        <f t="shared" si="17"/>
        <v>753</v>
      </c>
      <c r="L61" s="44">
        <v>753</v>
      </c>
      <c r="M61" s="88">
        <v>0</v>
      </c>
      <c r="N61" s="88">
        <v>0</v>
      </c>
      <c r="O61" s="88">
        <v>0</v>
      </c>
      <c r="P61" s="88">
        <f t="shared" si="18"/>
        <v>0</v>
      </c>
      <c r="Q61" s="44">
        <v>0</v>
      </c>
      <c r="R61" s="7">
        <v>0</v>
      </c>
      <c r="S61" s="7">
        <v>0</v>
      </c>
      <c r="T61" s="88">
        <v>0</v>
      </c>
    </row>
    <row r="62" spans="2:20">
      <c r="B62" s="2" t="s">
        <v>114</v>
      </c>
      <c r="C62" s="7">
        <v>566</v>
      </c>
      <c r="D62" s="7">
        <f>566-C62+11</f>
        <v>11</v>
      </c>
      <c r="E62" s="7">
        <f>566+82-C62-D62</f>
        <v>71</v>
      </c>
      <c r="F62" s="7">
        <f t="shared" si="16"/>
        <v>0</v>
      </c>
      <c r="G62" s="44">
        <f>566+82</f>
        <v>648</v>
      </c>
      <c r="H62" s="7">
        <v>25</v>
      </c>
      <c r="I62" s="7">
        <f>29-H62</f>
        <v>4</v>
      </c>
      <c r="J62" s="7">
        <f>33-I62-H62</f>
        <v>4</v>
      </c>
      <c r="K62" s="7">
        <f t="shared" si="17"/>
        <v>1904</v>
      </c>
      <c r="L62" s="44">
        <v>1937</v>
      </c>
      <c r="M62" s="88">
        <v>31</v>
      </c>
      <c r="N62" s="88">
        <f>31-M62</f>
        <v>0</v>
      </c>
      <c r="O62" s="88">
        <f>54-N62-M62</f>
        <v>23</v>
      </c>
      <c r="P62" s="88">
        <f t="shared" si="18"/>
        <v>365</v>
      </c>
      <c r="Q62" s="44">
        <v>419</v>
      </c>
      <c r="R62" s="7">
        <v>8181</v>
      </c>
      <c r="S62" s="7">
        <v>0</v>
      </c>
      <c r="T62" s="88">
        <v>0</v>
      </c>
    </row>
    <row r="63" spans="2:20">
      <c r="B63" s="2" t="s">
        <v>115</v>
      </c>
      <c r="C63" s="7">
        <v>3</v>
      </c>
      <c r="D63" s="7">
        <f>190-C63</f>
        <v>187</v>
      </c>
      <c r="E63" s="7">
        <f>208-C63-D63</f>
        <v>18</v>
      </c>
      <c r="F63" s="7">
        <f t="shared" si="16"/>
        <v>37</v>
      </c>
      <c r="G63" s="44">
        <v>245</v>
      </c>
      <c r="H63" s="7">
        <v>22</v>
      </c>
      <c r="I63" s="7">
        <f>226-H63</f>
        <v>204</v>
      </c>
      <c r="J63" s="7">
        <f>252-I63-H63</f>
        <v>26</v>
      </c>
      <c r="K63" s="7">
        <f t="shared" si="17"/>
        <v>288</v>
      </c>
      <c r="L63" s="44">
        <v>540</v>
      </c>
      <c r="M63" s="88">
        <v>20</v>
      </c>
      <c r="N63" s="88">
        <f>152-M63</f>
        <v>132</v>
      </c>
      <c r="O63" s="88">
        <f>144-M63-N63</f>
        <v>-8</v>
      </c>
      <c r="P63" s="88">
        <f t="shared" si="18"/>
        <v>941</v>
      </c>
      <c r="Q63" s="44">
        <v>1085</v>
      </c>
      <c r="R63" s="7">
        <v>0</v>
      </c>
      <c r="S63" s="7">
        <v>9</v>
      </c>
      <c r="T63" s="88">
        <v>26</v>
      </c>
    </row>
    <row r="64" spans="2:20">
      <c r="B64" s="2" t="s">
        <v>147</v>
      </c>
      <c r="C64" s="7">
        <v>0</v>
      </c>
      <c r="D64" s="7">
        <v>0</v>
      </c>
      <c r="E64" s="7">
        <v>0</v>
      </c>
      <c r="F64" s="7">
        <v>0</v>
      </c>
      <c r="G64" s="44">
        <v>0</v>
      </c>
      <c r="H64" s="7">
        <v>0</v>
      </c>
      <c r="I64" s="7">
        <v>0</v>
      </c>
      <c r="J64" s="7">
        <v>0</v>
      </c>
      <c r="K64" s="7">
        <v>0</v>
      </c>
      <c r="L64" s="44">
        <v>0</v>
      </c>
      <c r="M64" s="91">
        <v>0</v>
      </c>
      <c r="N64" s="91">
        <v>0</v>
      </c>
      <c r="O64" s="91">
        <v>-124</v>
      </c>
      <c r="P64" s="91">
        <f t="shared" si="18"/>
        <v>-1</v>
      </c>
      <c r="Q64" s="47">
        <v>-125</v>
      </c>
      <c r="R64" s="20">
        <v>-203</v>
      </c>
      <c r="S64" s="7">
        <v>87</v>
      </c>
      <c r="T64" s="88">
        <v>0</v>
      </c>
    </row>
    <row r="65" spans="2:20">
      <c r="B65" s="2" t="s">
        <v>116</v>
      </c>
      <c r="C65" s="20">
        <v>-646</v>
      </c>
      <c r="D65" s="20">
        <f>-1420-C65</f>
        <v>-774</v>
      </c>
      <c r="E65" s="20">
        <f>-2124-D65-C65</f>
        <v>-704</v>
      </c>
      <c r="F65" s="20">
        <f t="shared" si="16"/>
        <v>-902</v>
      </c>
      <c r="G65" s="47">
        <f>-3026</f>
        <v>-3026</v>
      </c>
      <c r="H65" s="20">
        <v>-568</v>
      </c>
      <c r="I65" s="20">
        <f>-1297-H65</f>
        <v>-729</v>
      </c>
      <c r="J65" s="20">
        <f>-1971-I65-H65</f>
        <v>-674</v>
      </c>
      <c r="K65" s="20">
        <f t="shared" si="17"/>
        <v>-1137</v>
      </c>
      <c r="L65" s="47">
        <v>-3108</v>
      </c>
      <c r="M65" s="91">
        <v>-342</v>
      </c>
      <c r="N65" s="91">
        <f>-856-M65</f>
        <v>-514</v>
      </c>
      <c r="O65" s="91">
        <f>-1448-M65-N65</f>
        <v>-592</v>
      </c>
      <c r="P65" s="91">
        <f t="shared" si="18"/>
        <v>-1119</v>
      </c>
      <c r="Q65" s="47">
        <v>-2567</v>
      </c>
      <c r="R65" s="20">
        <v>-463</v>
      </c>
      <c r="S65" s="20">
        <v>-719</v>
      </c>
      <c r="T65" s="91">
        <v>-799</v>
      </c>
    </row>
    <row r="66" spans="2:20">
      <c r="B66" s="2" t="s">
        <v>117</v>
      </c>
      <c r="C66" s="20">
        <v>-1</v>
      </c>
      <c r="D66" s="7">
        <f>0-C66</f>
        <v>1</v>
      </c>
      <c r="E66" s="20">
        <f>-8-D66-C66</f>
        <v>-8</v>
      </c>
      <c r="F66" s="7">
        <f t="shared" si="16"/>
        <v>3</v>
      </c>
      <c r="G66" s="47">
        <v>-5</v>
      </c>
      <c r="H66" s="20">
        <v>-2</v>
      </c>
      <c r="I66" s="7">
        <f>-1-H66</f>
        <v>1</v>
      </c>
      <c r="J66" s="7">
        <f>-1-H66-I66</f>
        <v>0</v>
      </c>
      <c r="K66" s="20">
        <f t="shared" si="17"/>
        <v>-3</v>
      </c>
      <c r="L66" s="47">
        <v>-4</v>
      </c>
      <c r="M66" s="88">
        <v>-3</v>
      </c>
      <c r="N66" s="88">
        <f>-10-M66</f>
        <v>-7</v>
      </c>
      <c r="O66" s="88">
        <f>-10-M66-N66</f>
        <v>0</v>
      </c>
      <c r="P66" s="88">
        <f t="shared" si="18"/>
        <v>1</v>
      </c>
      <c r="Q66" s="47">
        <v>-9</v>
      </c>
      <c r="R66" s="7">
        <v>0</v>
      </c>
      <c r="S66" s="7">
        <v>0</v>
      </c>
      <c r="T66" s="88">
        <v>0</v>
      </c>
    </row>
    <row r="67" spans="2:20">
      <c r="B67" s="2" t="s">
        <v>118</v>
      </c>
      <c r="C67" s="20">
        <v>-56</v>
      </c>
      <c r="D67" s="20">
        <f>-104-C67</f>
        <v>-48</v>
      </c>
      <c r="E67" s="7">
        <f>-97-D67-C67</f>
        <v>7</v>
      </c>
      <c r="F67" s="20">
        <f t="shared" si="16"/>
        <v>-84</v>
      </c>
      <c r="G67" s="47">
        <v>-181</v>
      </c>
      <c r="H67" s="20">
        <v>-12</v>
      </c>
      <c r="I67" s="20">
        <f>-13-H67</f>
        <v>-1</v>
      </c>
      <c r="J67" s="20">
        <f>-65-H67-I67</f>
        <v>-52</v>
      </c>
      <c r="K67" s="20">
        <f t="shared" si="17"/>
        <v>-109</v>
      </c>
      <c r="L67" s="47">
        <v>-174</v>
      </c>
      <c r="M67" s="91">
        <v>-7</v>
      </c>
      <c r="N67" s="91">
        <f>-1-M67</f>
        <v>6</v>
      </c>
      <c r="O67" s="91">
        <f>-108-M67-N67</f>
        <v>-107</v>
      </c>
      <c r="P67" s="91">
        <f t="shared" si="18"/>
        <v>-7</v>
      </c>
      <c r="Q67" s="47">
        <v>-115</v>
      </c>
      <c r="R67" s="20">
        <v>-9</v>
      </c>
      <c r="S67" s="7">
        <v>1</v>
      </c>
      <c r="T67" s="88">
        <v>-7</v>
      </c>
    </row>
    <row r="68" spans="2:20">
      <c r="B68" s="12" t="s">
        <v>119</v>
      </c>
      <c r="C68" s="31">
        <f t="shared" ref="C68:R68" si="19">SUM(C59:C67)</f>
        <v>-75</v>
      </c>
      <c r="D68" s="31">
        <f t="shared" si="19"/>
        <v>-592</v>
      </c>
      <c r="E68" s="31">
        <f t="shared" si="19"/>
        <v>-579</v>
      </c>
      <c r="F68" s="31">
        <f t="shared" si="19"/>
        <v>-694</v>
      </c>
      <c r="G68" s="62">
        <f t="shared" si="19"/>
        <v>-1940</v>
      </c>
      <c r="H68" s="31">
        <f t="shared" si="19"/>
        <v>-564</v>
      </c>
      <c r="I68" s="31">
        <f t="shared" si="19"/>
        <v>-462</v>
      </c>
      <c r="J68" s="31">
        <f t="shared" si="19"/>
        <v>-671</v>
      </c>
      <c r="K68" s="14">
        <f t="shared" si="19"/>
        <v>2828</v>
      </c>
      <c r="L68" s="57">
        <f t="shared" si="19"/>
        <v>1131</v>
      </c>
      <c r="M68" s="94">
        <f t="shared" si="19"/>
        <v>-250</v>
      </c>
      <c r="N68" s="94">
        <f t="shared" si="19"/>
        <v>-338</v>
      </c>
      <c r="O68" s="94">
        <f t="shared" si="19"/>
        <v>-756</v>
      </c>
      <c r="P68" s="94">
        <f t="shared" si="19"/>
        <v>209</v>
      </c>
      <c r="Q68" s="62">
        <f t="shared" si="19"/>
        <v>-1135</v>
      </c>
      <c r="R68" s="14">
        <f t="shared" si="19"/>
        <v>7513</v>
      </c>
      <c r="S68" s="31">
        <f t="shared" ref="S68:T68" si="20">SUM(S59:S67)</f>
        <v>-571</v>
      </c>
      <c r="T68" s="104">
        <f t="shared" si="20"/>
        <v>-699</v>
      </c>
    </row>
    <row r="69" spans="2:20">
      <c r="B69" s="2"/>
      <c r="C69" s="7"/>
      <c r="D69" s="7"/>
      <c r="E69" s="7"/>
      <c r="F69" s="7"/>
      <c r="G69" s="44"/>
      <c r="H69" s="7"/>
      <c r="I69" s="7"/>
      <c r="J69" s="7"/>
      <c r="K69" s="7"/>
      <c r="L69" s="44"/>
      <c r="M69" s="88"/>
      <c r="N69" s="88"/>
      <c r="O69" s="88"/>
      <c r="P69" s="88"/>
      <c r="Q69" s="44"/>
      <c r="R69" s="7"/>
      <c r="S69" s="7"/>
      <c r="T69" s="88"/>
    </row>
    <row r="70" spans="2:20">
      <c r="B70" s="1" t="s">
        <v>124</v>
      </c>
      <c r="C70" s="7"/>
      <c r="D70" s="7"/>
      <c r="E70" s="7"/>
      <c r="F70" s="7"/>
      <c r="G70" s="44"/>
      <c r="H70" s="7"/>
      <c r="I70" s="7"/>
      <c r="J70" s="7"/>
      <c r="K70" s="7"/>
      <c r="L70" s="44"/>
      <c r="M70" s="88"/>
      <c r="N70" s="88"/>
      <c r="O70" s="88"/>
      <c r="P70" s="88"/>
      <c r="Q70" s="44"/>
      <c r="R70" s="7"/>
      <c r="S70" s="7"/>
      <c r="T70" s="88"/>
    </row>
    <row r="71" spans="2:20">
      <c r="B71" s="2" t="s">
        <v>120</v>
      </c>
      <c r="C71" s="7">
        <v>1374</v>
      </c>
      <c r="D71" s="7">
        <f>1992-C71</f>
        <v>618</v>
      </c>
      <c r="E71" s="7">
        <f>3030-D71-C71</f>
        <v>1038</v>
      </c>
      <c r="F71" s="7">
        <f t="shared" ref="F71:F76" si="21">G71-SUM(C71:E71)</f>
        <v>3132</v>
      </c>
      <c r="G71" s="44">
        <v>6162</v>
      </c>
      <c r="H71" s="7">
        <v>1211</v>
      </c>
      <c r="I71" s="7">
        <f>3568-H71</f>
        <v>2357</v>
      </c>
      <c r="J71" s="7">
        <f>4393-H71-I71</f>
        <v>825</v>
      </c>
      <c r="K71" s="7">
        <f>L71-SUM(H71:J71)</f>
        <v>1006</v>
      </c>
      <c r="L71" s="44">
        <v>5399</v>
      </c>
      <c r="M71" s="88">
        <v>595</v>
      </c>
      <c r="N71" s="88">
        <f>2088-M71</f>
        <v>1493</v>
      </c>
      <c r="O71" s="88">
        <f>2924-M71-N71</f>
        <v>836</v>
      </c>
      <c r="P71" s="88">
        <f t="shared" ref="P71:P76" si="22">Q71-SUM(M71:O71)</f>
        <v>741</v>
      </c>
      <c r="Q71" s="44">
        <v>3665</v>
      </c>
      <c r="R71" s="7">
        <v>289</v>
      </c>
      <c r="S71" s="7">
        <v>2010</v>
      </c>
      <c r="T71" s="88">
        <v>674</v>
      </c>
    </row>
    <row r="72" spans="2:20">
      <c r="B72" s="2" t="s">
        <v>121</v>
      </c>
      <c r="C72" s="20">
        <v>-3203</v>
      </c>
      <c r="D72" s="20">
        <f>-3927-C72</f>
        <v>-724</v>
      </c>
      <c r="E72" s="20">
        <f>-4664-D72-C72</f>
        <v>-737</v>
      </c>
      <c r="F72" s="20">
        <f t="shared" si="21"/>
        <v>-2712</v>
      </c>
      <c r="G72" s="47">
        <v>-7376</v>
      </c>
      <c r="H72" s="20">
        <v>-1083</v>
      </c>
      <c r="I72" s="20">
        <f>-2874-H72</f>
        <v>-1791</v>
      </c>
      <c r="J72" s="20">
        <f>-3818-I72-H72</f>
        <v>-944</v>
      </c>
      <c r="K72" s="20">
        <f>L72-SUM(H72:J72)</f>
        <v>-2063</v>
      </c>
      <c r="L72" s="47">
        <v>-5881</v>
      </c>
      <c r="M72" s="91">
        <v>-1961</v>
      </c>
      <c r="N72" s="91">
        <f>-3846-M72</f>
        <v>-1885</v>
      </c>
      <c r="O72" s="91">
        <f>-4812-M72-N72</f>
        <v>-966</v>
      </c>
      <c r="P72" s="91">
        <f t="shared" si="22"/>
        <v>-720</v>
      </c>
      <c r="Q72" s="47">
        <v>-5532</v>
      </c>
      <c r="R72" s="20">
        <v>-4372</v>
      </c>
      <c r="S72" s="20">
        <v>-2522</v>
      </c>
      <c r="T72" s="91">
        <v>-1263</v>
      </c>
    </row>
    <row r="73" spans="2:20">
      <c r="B73" s="69" t="s">
        <v>186</v>
      </c>
      <c r="C73" s="68">
        <v>0</v>
      </c>
      <c r="D73" s="68">
        <v>0</v>
      </c>
      <c r="E73" s="68">
        <v>0</v>
      </c>
      <c r="F73" s="68">
        <v>0</v>
      </c>
      <c r="G73" s="44">
        <v>0</v>
      </c>
      <c r="H73" s="68">
        <v>0</v>
      </c>
      <c r="I73" s="68">
        <v>0</v>
      </c>
      <c r="J73" s="68">
        <v>0</v>
      </c>
      <c r="K73" s="68">
        <v>0</v>
      </c>
      <c r="L73" s="44">
        <v>0</v>
      </c>
      <c r="M73" s="105">
        <v>0</v>
      </c>
      <c r="N73" s="105">
        <v>0</v>
      </c>
      <c r="O73" s="105">
        <v>0</v>
      </c>
      <c r="P73" s="105">
        <v>0</v>
      </c>
      <c r="Q73" s="44">
        <v>0</v>
      </c>
      <c r="R73" s="20">
        <v>-52</v>
      </c>
      <c r="S73" s="20">
        <v>-32</v>
      </c>
      <c r="T73" s="91">
        <v>-55</v>
      </c>
    </row>
    <row r="74" spans="2:20">
      <c r="B74" s="2" t="s">
        <v>98</v>
      </c>
      <c r="C74" s="20">
        <v>-23</v>
      </c>
      <c r="D74" s="20">
        <f>-133-C74</f>
        <v>-110</v>
      </c>
      <c r="E74" s="20">
        <f>-251-D74-C74</f>
        <v>-118</v>
      </c>
      <c r="F74" s="20">
        <f t="shared" si="21"/>
        <v>-120</v>
      </c>
      <c r="G74" s="47">
        <v>-371</v>
      </c>
      <c r="H74" s="20">
        <v>-81</v>
      </c>
      <c r="I74" s="20">
        <f>-115-H74</f>
        <v>-34</v>
      </c>
      <c r="J74" s="20">
        <f>-211-I74-H74</f>
        <v>-96</v>
      </c>
      <c r="K74" s="20">
        <f>L74-SUM(H74:J74)</f>
        <v>-350</v>
      </c>
      <c r="L74" s="47">
        <v>-561</v>
      </c>
      <c r="M74" s="88">
        <v>-50</v>
      </c>
      <c r="N74" s="88">
        <f>-7-M74</f>
        <v>43</v>
      </c>
      <c r="O74" s="88">
        <f>-12-M74-N74</f>
        <v>-5</v>
      </c>
      <c r="P74" s="88">
        <f t="shared" si="22"/>
        <v>1</v>
      </c>
      <c r="Q74" s="47">
        <v>-11</v>
      </c>
      <c r="R74" s="7">
        <v>60</v>
      </c>
      <c r="S74" s="20">
        <v>-68</v>
      </c>
      <c r="T74" s="91">
        <v>14</v>
      </c>
    </row>
    <row r="75" spans="2:20">
      <c r="B75" s="2" t="s">
        <v>142</v>
      </c>
      <c r="C75" s="7">
        <v>0</v>
      </c>
      <c r="D75" s="7">
        <v>0</v>
      </c>
      <c r="E75" s="7">
        <v>0</v>
      </c>
      <c r="F75" s="7">
        <v>0</v>
      </c>
      <c r="G75" s="44">
        <v>0</v>
      </c>
      <c r="H75" s="7">
        <v>0</v>
      </c>
      <c r="I75" s="7">
        <v>0</v>
      </c>
      <c r="J75" s="7">
        <v>0</v>
      </c>
      <c r="K75" s="7">
        <v>0</v>
      </c>
      <c r="L75" s="44">
        <v>0</v>
      </c>
      <c r="M75" s="88">
        <v>-95</v>
      </c>
      <c r="N75" s="88">
        <f>-95-M75</f>
        <v>0</v>
      </c>
      <c r="O75" s="88">
        <f>-95-M75-N75</f>
        <v>0</v>
      </c>
      <c r="P75" s="88">
        <f t="shared" si="22"/>
        <v>0</v>
      </c>
      <c r="Q75" s="47">
        <v>-95</v>
      </c>
      <c r="R75" s="7">
        <v>0</v>
      </c>
      <c r="S75" s="7">
        <v>0</v>
      </c>
      <c r="T75" s="88">
        <v>0</v>
      </c>
    </row>
    <row r="76" spans="2:20">
      <c r="B76" s="2" t="s">
        <v>122</v>
      </c>
      <c r="C76" s="20">
        <v>-5</v>
      </c>
      <c r="D76" s="20">
        <f>-71-C76</f>
        <v>-66</v>
      </c>
      <c r="E76" s="20">
        <f>-76-D76-C76</f>
        <v>-5</v>
      </c>
      <c r="F76" s="20">
        <f t="shared" si="21"/>
        <v>-29</v>
      </c>
      <c r="G76" s="47">
        <v>-105</v>
      </c>
      <c r="H76" s="20">
        <v>-4</v>
      </c>
      <c r="I76" s="20">
        <f>-160-H76</f>
        <v>-156</v>
      </c>
      <c r="J76" s="20">
        <f>-194-H76-I76</f>
        <v>-34</v>
      </c>
      <c r="K76" s="20">
        <f>L76-SUM(H76:J76)</f>
        <v>-165</v>
      </c>
      <c r="L76" s="47">
        <v>-359</v>
      </c>
      <c r="M76" s="91">
        <v>-8</v>
      </c>
      <c r="N76" s="101">
        <f>-538-M76</f>
        <v>-530</v>
      </c>
      <c r="O76" s="91">
        <f>-781-25-M76-N76</f>
        <v>-268</v>
      </c>
      <c r="P76" s="91">
        <f t="shared" si="22"/>
        <v>-44</v>
      </c>
      <c r="Q76" s="47">
        <f>-789-61</f>
        <v>-850</v>
      </c>
      <c r="R76" s="20">
        <v>-1139</v>
      </c>
      <c r="S76" s="20">
        <v>-28</v>
      </c>
      <c r="T76" s="91">
        <v>-445</v>
      </c>
    </row>
    <row r="77" spans="2:20">
      <c r="B77" s="12" t="s">
        <v>123</v>
      </c>
      <c r="C77" s="31">
        <f t="shared" ref="C77:R77" si="23">SUM(C71:C76)</f>
        <v>-1857</v>
      </c>
      <c r="D77" s="31">
        <f t="shared" si="23"/>
        <v>-282</v>
      </c>
      <c r="E77" s="14">
        <f t="shared" si="23"/>
        <v>178</v>
      </c>
      <c r="F77" s="14">
        <f t="shared" si="23"/>
        <v>271</v>
      </c>
      <c r="G77" s="62">
        <f t="shared" si="23"/>
        <v>-1690</v>
      </c>
      <c r="H77" s="14">
        <f t="shared" si="23"/>
        <v>43</v>
      </c>
      <c r="I77" s="14">
        <f t="shared" si="23"/>
        <v>376</v>
      </c>
      <c r="J77" s="31">
        <f t="shared" si="23"/>
        <v>-249</v>
      </c>
      <c r="K77" s="31">
        <f t="shared" si="23"/>
        <v>-1572</v>
      </c>
      <c r="L77" s="62">
        <f t="shared" si="23"/>
        <v>-1402</v>
      </c>
      <c r="M77" s="104">
        <f t="shared" si="23"/>
        <v>-1519</v>
      </c>
      <c r="N77" s="110">
        <f t="shared" si="23"/>
        <v>-879</v>
      </c>
      <c r="O77" s="104">
        <f t="shared" si="23"/>
        <v>-403</v>
      </c>
      <c r="P77" s="104">
        <f t="shared" si="23"/>
        <v>-22</v>
      </c>
      <c r="Q77" s="62">
        <f t="shared" si="23"/>
        <v>-2823</v>
      </c>
      <c r="R77" s="31">
        <f t="shared" si="23"/>
        <v>-5214</v>
      </c>
      <c r="S77" s="31">
        <f t="shared" ref="S77:T77" si="24">SUM(S71:S76)</f>
        <v>-640</v>
      </c>
      <c r="T77" s="104">
        <f t="shared" si="24"/>
        <v>-1075</v>
      </c>
    </row>
    <row r="78" spans="2:20">
      <c r="B78" s="2"/>
      <c r="C78" s="7"/>
      <c r="D78" s="7"/>
      <c r="E78" s="7"/>
      <c r="F78" s="7"/>
      <c r="G78" s="44"/>
      <c r="H78" s="7"/>
      <c r="I78" s="7"/>
      <c r="J78" s="7"/>
      <c r="K78" s="7"/>
      <c r="L78" s="44"/>
      <c r="M78" s="88"/>
      <c r="N78" s="100"/>
      <c r="O78" s="88"/>
      <c r="P78" s="88"/>
      <c r="Q78" s="44"/>
      <c r="R78" s="7"/>
      <c r="S78" s="7"/>
      <c r="T78" s="88"/>
    </row>
    <row r="79" spans="2:20">
      <c r="B79" s="2" t="s">
        <v>125</v>
      </c>
      <c r="C79" s="19">
        <f t="shared" ref="C79:R79" si="25">C56+C68+C77</f>
        <v>-678</v>
      </c>
      <c r="D79" s="32">
        <f t="shared" si="25"/>
        <v>11</v>
      </c>
      <c r="E79" s="19">
        <f t="shared" si="25"/>
        <v>-367</v>
      </c>
      <c r="F79" s="32">
        <f t="shared" si="25"/>
        <v>2196</v>
      </c>
      <c r="G79" s="63">
        <f t="shared" si="25"/>
        <v>1162</v>
      </c>
      <c r="H79" s="19">
        <f t="shared" si="25"/>
        <v>-1009</v>
      </c>
      <c r="I79" s="32">
        <f t="shared" si="25"/>
        <v>143</v>
      </c>
      <c r="J79" s="19">
        <f t="shared" si="25"/>
        <v>-332</v>
      </c>
      <c r="K79" s="32">
        <f t="shared" si="25"/>
        <v>3038</v>
      </c>
      <c r="L79" s="63">
        <f t="shared" si="25"/>
        <v>1840</v>
      </c>
      <c r="M79" s="89">
        <f t="shared" si="25"/>
        <v>-2299</v>
      </c>
      <c r="N79" s="111">
        <f t="shared" si="25"/>
        <v>-390</v>
      </c>
      <c r="O79" s="89">
        <f t="shared" si="25"/>
        <v>-544</v>
      </c>
      <c r="P79" s="89">
        <f t="shared" si="25"/>
        <v>972</v>
      </c>
      <c r="Q79" s="45">
        <f t="shared" si="25"/>
        <v>-2261</v>
      </c>
      <c r="R79" s="19">
        <f t="shared" si="25"/>
        <v>-704</v>
      </c>
      <c r="S79" s="19">
        <f t="shared" ref="S79:T79" si="26">S56+S68+S77</f>
        <v>-1892</v>
      </c>
      <c r="T79" s="89">
        <f t="shared" si="26"/>
        <v>601</v>
      </c>
    </row>
    <row r="80" spans="2:20">
      <c r="B80" s="2"/>
      <c r="C80" s="7"/>
      <c r="D80" s="7"/>
      <c r="E80" s="7"/>
      <c r="F80" s="20"/>
      <c r="G80" s="47"/>
      <c r="H80" s="20"/>
      <c r="I80" s="7"/>
      <c r="J80" s="7"/>
      <c r="K80" s="20"/>
      <c r="L80" s="44"/>
      <c r="M80" s="88"/>
      <c r="N80" s="100"/>
      <c r="O80" s="88"/>
      <c r="P80" s="91"/>
      <c r="Q80" s="44"/>
      <c r="R80" s="7"/>
      <c r="S80" s="7"/>
      <c r="T80" s="88"/>
    </row>
    <row r="81" spans="2:20">
      <c r="B81" s="2" t="s">
        <v>143</v>
      </c>
      <c r="C81" s="7">
        <v>177</v>
      </c>
      <c r="D81" s="7">
        <f>177-C81</f>
        <v>0</v>
      </c>
      <c r="E81" s="7">
        <f>177-D81-C81</f>
        <v>0</v>
      </c>
      <c r="F81" s="7">
        <f t="shared" ref="F81:F84" si="27">G81-SUM(C81:E81)</f>
        <v>0</v>
      </c>
      <c r="G81" s="44">
        <v>177</v>
      </c>
      <c r="H81" s="7">
        <v>0</v>
      </c>
      <c r="I81" s="7">
        <v>0</v>
      </c>
      <c r="J81" s="7">
        <v>0</v>
      </c>
      <c r="K81" s="7">
        <f>L81-SUM(H81:J81)</f>
        <v>0</v>
      </c>
      <c r="L81" s="44">
        <v>0</v>
      </c>
      <c r="M81" s="88">
        <v>0</v>
      </c>
      <c r="N81" s="100">
        <v>0</v>
      </c>
      <c r="O81" s="88">
        <v>0</v>
      </c>
      <c r="P81" s="88">
        <f>Q81-SUM(M81:O81)</f>
        <v>0</v>
      </c>
      <c r="Q81" s="44">
        <v>0</v>
      </c>
      <c r="R81" s="7">
        <v>0</v>
      </c>
      <c r="S81" s="7">
        <v>0</v>
      </c>
      <c r="T81" s="88">
        <v>0</v>
      </c>
    </row>
    <row r="82" spans="2:20">
      <c r="B82" s="2" t="s">
        <v>138</v>
      </c>
      <c r="C82" s="7">
        <v>0</v>
      </c>
      <c r="D82" s="7">
        <v>0</v>
      </c>
      <c r="E82" s="7">
        <v>0</v>
      </c>
      <c r="F82" s="7">
        <v>0</v>
      </c>
      <c r="G82" s="44">
        <v>0</v>
      </c>
      <c r="H82" s="7">
        <v>0</v>
      </c>
      <c r="I82" s="7">
        <v>0</v>
      </c>
      <c r="J82" s="7">
        <v>0</v>
      </c>
      <c r="K82" s="7">
        <f>L82-SUM(H82:J82)</f>
        <v>0</v>
      </c>
      <c r="L82" s="44">
        <v>0</v>
      </c>
      <c r="M82" s="88">
        <v>0</v>
      </c>
      <c r="N82" s="100">
        <v>0</v>
      </c>
      <c r="O82" s="88">
        <v>0</v>
      </c>
      <c r="P82" s="88">
        <f>Q82-SUM(M82:O82)</f>
        <v>0</v>
      </c>
      <c r="Q82" s="44">
        <v>0</v>
      </c>
      <c r="R82" s="7">
        <v>0</v>
      </c>
      <c r="S82" s="7">
        <v>0</v>
      </c>
      <c r="T82" s="88">
        <v>0</v>
      </c>
    </row>
    <row r="83" spans="2:20">
      <c r="B83" s="2" t="s">
        <v>150</v>
      </c>
      <c r="C83" s="7">
        <v>0</v>
      </c>
      <c r="D83" s="7">
        <v>0</v>
      </c>
      <c r="E83" s="7">
        <v>0</v>
      </c>
      <c r="F83" s="7">
        <v>0</v>
      </c>
      <c r="G83" s="44">
        <v>0</v>
      </c>
      <c r="H83" s="7">
        <v>0</v>
      </c>
      <c r="I83" s="7">
        <v>0</v>
      </c>
      <c r="J83" s="7">
        <v>0</v>
      </c>
      <c r="K83" s="7">
        <v>0</v>
      </c>
      <c r="L83" s="44">
        <v>0</v>
      </c>
      <c r="M83" s="88">
        <v>0</v>
      </c>
      <c r="N83" s="101">
        <f>-14-M83</f>
        <v>-14</v>
      </c>
      <c r="O83" s="88">
        <f>-14-M83-N83</f>
        <v>0</v>
      </c>
      <c r="P83" s="91">
        <f>Q83-SUM(M83:O83)</f>
        <v>-95</v>
      </c>
      <c r="Q83" s="47">
        <f>-109</f>
        <v>-109</v>
      </c>
      <c r="R83" s="7">
        <v>0</v>
      </c>
      <c r="S83" s="7">
        <v>0</v>
      </c>
      <c r="T83" s="88">
        <v>0</v>
      </c>
    </row>
    <row r="84" spans="2:20">
      <c r="B84" s="2" t="s">
        <v>126</v>
      </c>
      <c r="C84" s="20">
        <v>-369</v>
      </c>
      <c r="D84" s="20">
        <f>-800-C84</f>
        <v>-431</v>
      </c>
      <c r="E84" s="7">
        <f>-784-D84-C84</f>
        <v>16</v>
      </c>
      <c r="F84" s="20">
        <f t="shared" si="27"/>
        <v>-258</v>
      </c>
      <c r="G84" s="47">
        <v>-1042</v>
      </c>
      <c r="H84" s="20">
        <v>-119</v>
      </c>
      <c r="I84" s="7">
        <f>481-H84</f>
        <v>600</v>
      </c>
      <c r="J84" s="20">
        <f>39-I84-H84</f>
        <v>-442</v>
      </c>
      <c r="K84" s="7">
        <f>L84-SUM(H84:J84)</f>
        <v>352</v>
      </c>
      <c r="L84" s="44">
        <v>391</v>
      </c>
      <c r="M84" s="88">
        <v>57</v>
      </c>
      <c r="N84" s="100">
        <f>796-M84</f>
        <v>739</v>
      </c>
      <c r="O84" s="88">
        <f>1031-M84-N84</f>
        <v>235</v>
      </c>
      <c r="P84" s="91">
        <f>Q84-SUM(M84:O84)</f>
        <v>-171</v>
      </c>
      <c r="Q84" s="44">
        <v>860</v>
      </c>
      <c r="R84" s="20">
        <v>-42</v>
      </c>
      <c r="S84" s="20">
        <v>-85</v>
      </c>
      <c r="T84" s="91">
        <v>476</v>
      </c>
    </row>
    <row r="85" spans="2:20">
      <c r="B85" s="2" t="s">
        <v>127</v>
      </c>
      <c r="C85" s="7">
        <v>6649</v>
      </c>
      <c r="D85" s="7">
        <v>5779</v>
      </c>
      <c r="E85" s="7">
        <v>5359</v>
      </c>
      <c r="F85" s="7">
        <v>5008</v>
      </c>
      <c r="G85" s="44">
        <v>6649</v>
      </c>
      <c r="H85" s="7">
        <v>6946</v>
      </c>
      <c r="I85" s="7">
        <v>5818</v>
      </c>
      <c r="J85" s="7">
        <v>6561</v>
      </c>
      <c r="K85" s="7">
        <v>5788</v>
      </c>
      <c r="L85" s="44">
        <v>6946</v>
      </c>
      <c r="M85" s="88">
        <v>8960</v>
      </c>
      <c r="N85" s="100">
        <v>6718</v>
      </c>
      <c r="O85" s="88">
        <v>7053</v>
      </c>
      <c r="P85" s="88">
        <v>6754</v>
      </c>
      <c r="Q85" s="44">
        <v>9177</v>
      </c>
      <c r="R85" s="7">
        <v>7667</v>
      </c>
      <c r="S85" s="7">
        <v>6921</v>
      </c>
      <c r="T85" s="88">
        <v>4944</v>
      </c>
    </row>
    <row r="86" spans="2:20" ht="15.75" thickBot="1">
      <c r="B86" s="1" t="s">
        <v>128</v>
      </c>
      <c r="C86" s="15">
        <f t="shared" ref="C86:O86" si="28">SUM(C79:C85)</f>
        <v>5779</v>
      </c>
      <c r="D86" s="15">
        <f t="shared" si="28"/>
        <v>5359</v>
      </c>
      <c r="E86" s="15">
        <f t="shared" si="28"/>
        <v>5008</v>
      </c>
      <c r="F86" s="15">
        <f t="shared" si="28"/>
        <v>6946</v>
      </c>
      <c r="G86" s="58">
        <f t="shared" si="28"/>
        <v>6946</v>
      </c>
      <c r="H86" s="15">
        <f t="shared" si="28"/>
        <v>5818</v>
      </c>
      <c r="I86" s="15">
        <f t="shared" si="28"/>
        <v>6561</v>
      </c>
      <c r="J86" s="15">
        <f t="shared" si="28"/>
        <v>5787</v>
      </c>
      <c r="K86" s="15">
        <f t="shared" si="28"/>
        <v>9178</v>
      </c>
      <c r="L86" s="58">
        <f t="shared" si="28"/>
        <v>9177</v>
      </c>
      <c r="M86" s="96">
        <f t="shared" si="28"/>
        <v>6718</v>
      </c>
      <c r="N86" s="112">
        <f t="shared" si="28"/>
        <v>7053</v>
      </c>
      <c r="O86" s="96">
        <f t="shared" si="28"/>
        <v>6744</v>
      </c>
      <c r="P86" s="96">
        <f t="shared" ref="P86:Q86" si="29">SUM(P79:P85)</f>
        <v>7460</v>
      </c>
      <c r="Q86" s="58">
        <f t="shared" si="29"/>
        <v>7667</v>
      </c>
      <c r="R86" s="15">
        <f t="shared" ref="R86:S86" si="30">SUM(R79:R85)</f>
        <v>6921</v>
      </c>
      <c r="S86" s="15">
        <f t="shared" si="30"/>
        <v>4944</v>
      </c>
      <c r="T86" s="96">
        <f t="shared" ref="T86" si="31">SUM(T79:T85)</f>
        <v>6021</v>
      </c>
    </row>
    <row r="87" spans="2:20" ht="15.75" thickTop="1">
      <c r="C87" s="7"/>
      <c r="D87" s="7"/>
      <c r="E87" s="7"/>
      <c r="F87" s="7"/>
      <c r="G87" s="7"/>
      <c r="H87" s="7"/>
      <c r="I87" s="7"/>
      <c r="J87" s="7"/>
      <c r="K87" s="7"/>
      <c r="L87" s="7"/>
      <c r="M87" s="88"/>
      <c r="N87" s="100"/>
      <c r="O87" s="88"/>
      <c r="P87" s="88"/>
      <c r="Q87" s="7"/>
    </row>
    <row r="88" spans="2:20">
      <c r="C88" s="7"/>
      <c r="D88" s="7"/>
      <c r="E88" s="7"/>
      <c r="F88" s="7"/>
      <c r="G88" s="7"/>
      <c r="H88" s="7"/>
      <c r="I88" s="7"/>
      <c r="J88" s="7"/>
      <c r="K88" s="7"/>
      <c r="L88" s="7"/>
      <c r="M88" s="88"/>
      <c r="N88" s="100"/>
      <c r="O88" s="88"/>
      <c r="P88" s="88"/>
      <c r="Q88" s="7"/>
    </row>
    <row r="89" spans="2:20">
      <c r="C89" s="7"/>
      <c r="D89" s="7"/>
      <c r="E89" s="7"/>
      <c r="F89" s="7"/>
      <c r="G89" s="7"/>
      <c r="H89" s="7"/>
      <c r="I89" s="7"/>
      <c r="J89" s="7"/>
      <c r="K89" s="7"/>
      <c r="L89" s="7"/>
      <c r="M89" s="88"/>
      <c r="N89" s="88"/>
      <c r="O89" s="88"/>
      <c r="P89" s="88"/>
      <c r="Q89" s="7"/>
    </row>
    <row r="90" spans="2:20">
      <c r="C90" s="7"/>
      <c r="D90" s="7"/>
      <c r="E90" s="7"/>
      <c r="F90" s="7"/>
      <c r="G90" s="7"/>
      <c r="H90" s="7"/>
      <c r="I90" s="7"/>
      <c r="J90" s="7"/>
      <c r="K90" s="7"/>
      <c r="L90" s="7"/>
      <c r="M90" s="88"/>
      <c r="N90" s="100"/>
      <c r="O90" s="88"/>
      <c r="P90" s="88"/>
      <c r="Q90" s="7"/>
    </row>
    <row r="91" spans="2:20">
      <c r="C91" s="7"/>
      <c r="D91" s="7"/>
      <c r="E91" s="7"/>
      <c r="F91" s="7"/>
      <c r="G91" s="7"/>
      <c r="H91" s="7"/>
      <c r="I91" s="7"/>
      <c r="J91" s="7"/>
      <c r="K91" s="7"/>
      <c r="L91" s="7"/>
      <c r="M91" s="88"/>
      <c r="N91" s="100"/>
      <c r="O91" s="88"/>
      <c r="P91" s="88"/>
      <c r="Q91" s="7"/>
    </row>
    <row r="92" spans="2:20">
      <c r="C92" s="7"/>
      <c r="D92" s="7"/>
      <c r="E92" s="7"/>
      <c r="F92" s="7"/>
      <c r="G92" s="7"/>
      <c r="H92" s="7"/>
      <c r="I92" s="7"/>
      <c r="J92" s="7"/>
      <c r="K92" s="7"/>
      <c r="L92" s="7"/>
      <c r="M92" s="88"/>
      <c r="N92" s="100"/>
      <c r="O92" s="88"/>
      <c r="P92" s="88"/>
      <c r="Q92" s="7"/>
    </row>
    <row r="93" spans="2:20">
      <c r="C93" s="7"/>
      <c r="D93" s="7"/>
      <c r="E93" s="7"/>
      <c r="F93" s="7"/>
      <c r="G93" s="7"/>
      <c r="H93" s="7"/>
      <c r="I93" s="7"/>
      <c r="J93" s="7"/>
      <c r="K93" s="7"/>
      <c r="L93" s="7"/>
      <c r="M93" s="88"/>
      <c r="N93" s="100"/>
      <c r="O93" s="88"/>
      <c r="P93" s="88"/>
      <c r="Q93" s="7"/>
    </row>
    <row r="94" spans="2:20">
      <c r="C94" s="7"/>
      <c r="D94" s="7"/>
      <c r="E94" s="7"/>
      <c r="F94" s="7"/>
      <c r="G94" s="7"/>
      <c r="H94" s="7"/>
      <c r="I94" s="7"/>
      <c r="J94" s="7"/>
      <c r="K94" s="7"/>
      <c r="L94" s="7"/>
      <c r="M94" s="88"/>
      <c r="N94" s="100"/>
      <c r="O94" s="88"/>
      <c r="P94" s="88"/>
      <c r="Q94" s="7"/>
    </row>
    <row r="95" spans="2:20">
      <c r="M95" s="97"/>
      <c r="N95" s="113"/>
      <c r="P95" s="97"/>
    </row>
    <row r="96" spans="2:20">
      <c r="M96" s="97"/>
      <c r="N96" s="113"/>
      <c r="P96" s="97"/>
    </row>
    <row r="97" spans="13:16">
      <c r="M97" s="97"/>
      <c r="N97" s="113"/>
      <c r="P97" s="97"/>
    </row>
    <row r="98" spans="13:16">
      <c r="M98" s="97"/>
      <c r="N98" s="113"/>
      <c r="P98" s="97"/>
    </row>
    <row r="99" spans="13:16">
      <c r="M99" s="97"/>
      <c r="N99" s="113"/>
      <c r="P99" s="97"/>
    </row>
    <row r="100" spans="13:16">
      <c r="M100" s="97"/>
      <c r="N100" s="113"/>
      <c r="P100" s="97"/>
    </row>
    <row r="101" spans="13:16">
      <c r="M101" s="97"/>
      <c r="N101" s="113"/>
      <c r="P101" s="97"/>
    </row>
    <row r="102" spans="13:16">
      <c r="M102" s="97"/>
      <c r="N102" s="113"/>
      <c r="P102" s="97"/>
    </row>
    <row r="103" spans="13:16">
      <c r="M103" s="97"/>
      <c r="N103" s="113"/>
      <c r="P103" s="97"/>
    </row>
    <row r="104" spans="13:16">
      <c r="M104" s="97"/>
      <c r="N104" s="113"/>
      <c r="P104" s="97"/>
    </row>
    <row r="105" spans="13:16">
      <c r="M105" s="97"/>
      <c r="N105" s="113"/>
      <c r="P105" s="97"/>
    </row>
    <row r="106" spans="13:16">
      <c r="M106" s="97"/>
      <c r="N106" s="113"/>
      <c r="P106" s="97"/>
    </row>
    <row r="107" spans="13:16">
      <c r="M107" s="97"/>
      <c r="N107" s="113"/>
      <c r="P107" s="97"/>
    </row>
    <row r="108" spans="13:16">
      <c r="M108" s="97"/>
      <c r="N108" s="113"/>
      <c r="P108" s="97"/>
    </row>
  </sheetData>
  <mergeCells count="4">
    <mergeCell ref="C4:G5"/>
    <mergeCell ref="H4:L5"/>
    <mergeCell ref="M4:Q5"/>
    <mergeCell ref="R4:T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" numberStoredAsText="1"/>
    <ignoredError sqref="K14 K27 K60:K82 P17:P18 P20 P27 P33 P35 P60:P61 P64 P81:P8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T4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/>
  <cols>
    <col min="1" max="1" width="3.42578125" customWidth="1"/>
    <col min="2" max="2" width="83.42578125" bestFit="1" customWidth="1"/>
    <col min="3" max="16" width="18" customWidth="1"/>
    <col min="17" max="17" width="18" style="76" customWidth="1"/>
    <col min="18" max="19" width="18" customWidth="1"/>
    <col min="20" max="20" width="18" style="97" customWidth="1"/>
  </cols>
  <sheetData>
    <row r="4" spans="2:20" ht="15" customHeight="1">
      <c r="B4" s="3"/>
      <c r="C4" s="107" t="s">
        <v>49</v>
      </c>
      <c r="D4" s="107"/>
      <c r="E4" s="107"/>
      <c r="F4" s="107"/>
      <c r="G4" s="107"/>
      <c r="H4" s="107" t="s">
        <v>54</v>
      </c>
      <c r="I4" s="107"/>
      <c r="J4" s="107"/>
      <c r="K4" s="107"/>
      <c r="L4" s="107"/>
      <c r="M4" s="108" t="s">
        <v>56</v>
      </c>
      <c r="N4" s="108"/>
      <c r="O4" s="108"/>
      <c r="P4" s="108"/>
      <c r="Q4" s="108"/>
      <c r="R4" s="109">
        <v>2019</v>
      </c>
      <c r="S4" s="109"/>
      <c r="T4" s="109"/>
    </row>
    <row r="5" spans="2:20" ht="15.75">
      <c r="B5" s="4" t="s">
        <v>181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8"/>
      <c r="N5" s="108"/>
      <c r="O5" s="108"/>
      <c r="P5" s="108"/>
      <c r="Q5" s="108"/>
      <c r="R5" s="109"/>
      <c r="S5" s="109"/>
      <c r="T5" s="109"/>
    </row>
    <row r="6" spans="2:20" ht="15.75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41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174</v>
      </c>
      <c r="N6" s="6" t="s">
        <v>175</v>
      </c>
      <c r="O6" s="6" t="s">
        <v>176</v>
      </c>
      <c r="P6" s="6" t="s">
        <v>55</v>
      </c>
      <c r="Q6" s="6" t="s">
        <v>56</v>
      </c>
      <c r="R6" s="6" t="s">
        <v>185</v>
      </c>
      <c r="S6" s="6" t="s">
        <v>188</v>
      </c>
      <c r="T6" s="98" t="s">
        <v>193</v>
      </c>
    </row>
    <row r="7" spans="2:20">
      <c r="B7" s="12" t="s">
        <v>155</v>
      </c>
      <c r="G7" s="43"/>
      <c r="L7" s="43"/>
      <c r="Q7" s="77"/>
    </row>
    <row r="8" spans="2:20" s="16" customFormat="1">
      <c r="B8" s="1" t="s">
        <v>151</v>
      </c>
      <c r="C8" s="27">
        <v>458</v>
      </c>
      <c r="D8" s="27">
        <v>176</v>
      </c>
      <c r="E8" s="27">
        <v>414</v>
      </c>
      <c r="F8" s="34">
        <v>-1251</v>
      </c>
      <c r="G8" s="59">
        <v>-1251</v>
      </c>
      <c r="H8" s="34">
        <v>-1939</v>
      </c>
      <c r="I8" s="34">
        <v>-1704</v>
      </c>
      <c r="J8" s="34">
        <v>-1333</v>
      </c>
      <c r="K8" s="27">
        <v>810</v>
      </c>
      <c r="L8" s="61">
        <v>810</v>
      </c>
      <c r="M8" s="27">
        <v>1506</v>
      </c>
      <c r="N8" s="27">
        <v>1098</v>
      </c>
      <c r="O8" s="27">
        <v>691</v>
      </c>
      <c r="P8" s="27">
        <v>1953</v>
      </c>
      <c r="Q8" s="61">
        <v>1953</v>
      </c>
      <c r="R8" s="27">
        <v>6194</v>
      </c>
      <c r="S8" s="27">
        <v>6273</v>
      </c>
      <c r="T8" s="99">
        <v>5703</v>
      </c>
    </row>
    <row r="9" spans="2:20" s="38" customFormat="1">
      <c r="B9" s="37" t="s">
        <v>152</v>
      </c>
      <c r="C9" s="34"/>
      <c r="D9" s="34"/>
      <c r="E9" s="34"/>
      <c r="F9" s="34"/>
      <c r="G9" s="59"/>
      <c r="H9" s="34"/>
      <c r="I9" s="34"/>
      <c r="J9" s="34"/>
      <c r="K9" s="34"/>
      <c r="L9" s="59"/>
      <c r="M9" s="34"/>
      <c r="N9" s="34"/>
      <c r="O9" s="34"/>
      <c r="P9" s="34"/>
      <c r="Q9" s="59"/>
      <c r="R9" s="34"/>
      <c r="S9" s="34"/>
      <c r="T9" s="90"/>
    </row>
    <row r="10" spans="2:20">
      <c r="B10" s="12" t="s">
        <v>153</v>
      </c>
      <c r="C10" s="13"/>
      <c r="D10" s="13"/>
      <c r="E10" s="13"/>
      <c r="F10" s="13"/>
      <c r="G10" s="46"/>
      <c r="H10" s="13"/>
      <c r="I10" s="13"/>
      <c r="J10" s="13"/>
      <c r="K10" s="13"/>
      <c r="L10" s="46"/>
      <c r="M10" s="13"/>
      <c r="N10" s="13"/>
      <c r="O10" s="13"/>
      <c r="P10" s="13"/>
      <c r="Q10" s="46"/>
      <c r="R10" s="13"/>
      <c r="S10" s="13"/>
      <c r="T10" s="90"/>
    </row>
    <row r="11" spans="2:20">
      <c r="B11" s="2" t="s">
        <v>154</v>
      </c>
      <c r="C11" s="20">
        <f>-807+9</f>
        <v>-798</v>
      </c>
      <c r="D11" s="20">
        <f>-843+14</f>
        <v>-829</v>
      </c>
      <c r="E11" s="20">
        <f>-938+5</f>
        <v>-933</v>
      </c>
      <c r="F11" s="20">
        <v>-774</v>
      </c>
      <c r="G11" s="47">
        <v>-774</v>
      </c>
      <c r="H11" s="20">
        <f>-590+3+4</f>
        <v>-583</v>
      </c>
      <c r="I11" s="20">
        <f>-654+12-1</f>
        <v>-643</v>
      </c>
      <c r="J11" s="20">
        <v>-1105</v>
      </c>
      <c r="K11" s="20">
        <v>-1197</v>
      </c>
      <c r="L11" s="47">
        <v>-1197</v>
      </c>
      <c r="M11" s="20">
        <v>-1447</v>
      </c>
      <c r="N11" s="20">
        <v>-1212</v>
      </c>
      <c r="O11" s="20">
        <v>-839</v>
      </c>
      <c r="P11" s="20">
        <v>-1634</v>
      </c>
      <c r="Q11" s="47">
        <v>-1634</v>
      </c>
      <c r="R11" s="20">
        <v>-1334</v>
      </c>
      <c r="S11" s="20">
        <v>-1541</v>
      </c>
      <c r="T11" s="91">
        <v>-1524</v>
      </c>
    </row>
    <row r="12" spans="2:20">
      <c r="B12" s="2" t="s">
        <v>156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44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44">
        <v>2506</v>
      </c>
      <c r="M12" s="7">
        <f>2411</f>
        <v>2411</v>
      </c>
      <c r="N12" s="7">
        <v>3114</v>
      </c>
      <c r="O12" s="7">
        <v>3243</v>
      </c>
      <c r="P12" s="7">
        <v>2048</v>
      </c>
      <c r="Q12" s="44">
        <v>2048</v>
      </c>
      <c r="R12" s="7">
        <v>2113</v>
      </c>
      <c r="S12" s="7">
        <v>1686</v>
      </c>
      <c r="T12" s="88">
        <v>1514</v>
      </c>
    </row>
    <row r="13" spans="2:20">
      <c r="B13" s="2" t="s">
        <v>157</v>
      </c>
      <c r="C13" s="7">
        <f>960-5</f>
        <v>955</v>
      </c>
      <c r="D13" s="7">
        <f>781-10</f>
        <v>771</v>
      </c>
      <c r="E13" s="7">
        <f>785-17</f>
        <v>768</v>
      </c>
      <c r="F13" s="20">
        <v>-397</v>
      </c>
      <c r="G13" s="47">
        <v>-397</v>
      </c>
      <c r="H13" s="20">
        <f>-483+45+3</f>
        <v>-435</v>
      </c>
      <c r="I13" s="20">
        <f>-343+66+8</f>
        <v>-269</v>
      </c>
      <c r="J13" s="20">
        <f>-489+84</f>
        <v>-405</v>
      </c>
      <c r="K13" s="7">
        <v>133</v>
      </c>
      <c r="L13" s="44">
        <v>133</v>
      </c>
      <c r="M13" s="7">
        <v>297</v>
      </c>
      <c r="N13" s="7">
        <v>229</v>
      </c>
      <c r="O13" s="7">
        <v>397</v>
      </c>
      <c r="P13" s="7">
        <v>1065</v>
      </c>
      <c r="Q13" s="44">
        <v>1065</v>
      </c>
      <c r="R13" s="7">
        <v>3183</v>
      </c>
      <c r="S13" s="7">
        <v>3189</v>
      </c>
      <c r="T13" s="88">
        <v>2911</v>
      </c>
    </row>
    <row r="14" spans="2:20">
      <c r="B14" s="2" t="s">
        <v>158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44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44">
        <v>2360</v>
      </c>
      <c r="M14" s="7">
        <v>2336</v>
      </c>
      <c r="N14" s="7">
        <v>2388</v>
      </c>
      <c r="O14" s="7">
        <v>2535</v>
      </c>
      <c r="P14" s="7">
        <v>2455</v>
      </c>
      <c r="Q14" s="44">
        <v>2455</v>
      </c>
      <c r="R14" s="7">
        <v>2589</v>
      </c>
      <c r="S14" s="7">
        <v>2729</v>
      </c>
      <c r="T14" s="88">
        <v>2888</v>
      </c>
    </row>
    <row r="15" spans="2:20">
      <c r="B15" s="12" t="s">
        <v>139</v>
      </c>
      <c r="C15" s="13"/>
      <c r="D15" s="13"/>
      <c r="E15" s="13"/>
      <c r="F15" s="13"/>
      <c r="G15" s="46"/>
      <c r="H15" s="13"/>
      <c r="I15" s="13"/>
      <c r="J15" s="13"/>
      <c r="K15" s="13"/>
      <c r="L15" s="46"/>
      <c r="M15" s="13"/>
      <c r="N15" s="13"/>
      <c r="O15" s="13"/>
      <c r="P15" s="13"/>
      <c r="Q15" s="46"/>
      <c r="R15" s="13"/>
      <c r="S15" s="13"/>
      <c r="T15" s="90"/>
    </row>
    <row r="16" spans="2:20">
      <c r="B16" s="2" t="s">
        <v>154</v>
      </c>
      <c r="C16" s="20">
        <f>0-9</f>
        <v>-9</v>
      </c>
      <c r="D16" s="20">
        <f>0-14</f>
        <v>-14</v>
      </c>
      <c r="E16" s="20">
        <f>0-5</f>
        <v>-5</v>
      </c>
      <c r="F16" s="20">
        <v>-31</v>
      </c>
      <c r="G16" s="47">
        <v>-31</v>
      </c>
      <c r="H16" s="20">
        <f>-9-3-4</f>
        <v>-16</v>
      </c>
      <c r="I16" s="20">
        <f>-4-12+1</f>
        <v>-15</v>
      </c>
      <c r="J16" s="7">
        <v>12</v>
      </c>
      <c r="K16" s="20">
        <v>-151</v>
      </c>
      <c r="L16" s="47">
        <v>-151</v>
      </c>
      <c r="M16" s="20">
        <v>-149</v>
      </c>
      <c r="N16" s="20">
        <v>-141</v>
      </c>
      <c r="O16" s="20">
        <v>-151</v>
      </c>
      <c r="P16" s="7">
        <v>0</v>
      </c>
      <c r="Q16" s="44">
        <v>0</v>
      </c>
      <c r="R16" s="7">
        <v>0</v>
      </c>
      <c r="S16" s="7">
        <v>0</v>
      </c>
      <c r="T16" s="88">
        <v>0</v>
      </c>
    </row>
    <row r="17" spans="2:20">
      <c r="B17" s="2" t="s">
        <v>156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44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44">
        <v>96</v>
      </c>
      <c r="M17" s="7">
        <v>98</v>
      </c>
      <c r="N17" s="7">
        <v>9</v>
      </c>
      <c r="O17" s="7">
        <v>32</v>
      </c>
      <c r="P17" s="7">
        <v>6</v>
      </c>
      <c r="Q17" s="44">
        <v>6</v>
      </c>
      <c r="R17" s="7">
        <v>5</v>
      </c>
      <c r="S17" s="7">
        <v>45</v>
      </c>
      <c r="T17" s="88">
        <v>42</v>
      </c>
    </row>
    <row r="18" spans="2:20">
      <c r="B18" s="2" t="s">
        <v>157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44">
        <v>2</v>
      </c>
      <c r="H18" s="20">
        <f>-2-45-6</f>
        <v>-53</v>
      </c>
      <c r="I18" s="20">
        <f>5-66-11</f>
        <v>-72</v>
      </c>
      <c r="J18" s="20">
        <f>-5-84</f>
        <v>-89</v>
      </c>
      <c r="K18" s="7">
        <v>126</v>
      </c>
      <c r="L18" s="44">
        <v>126</v>
      </c>
      <c r="M18" s="7">
        <v>123</v>
      </c>
      <c r="N18" s="7">
        <v>146</v>
      </c>
      <c r="O18" s="7">
        <v>159</v>
      </c>
      <c r="P18" s="20">
        <v>-99</v>
      </c>
      <c r="Q18" s="47">
        <v>-99</v>
      </c>
      <c r="R18" s="20">
        <v>-52</v>
      </c>
      <c r="S18" s="20">
        <v>-53</v>
      </c>
      <c r="T18" s="91">
        <v>-50</v>
      </c>
    </row>
    <row r="19" spans="2:20">
      <c r="B19" s="2" t="s">
        <v>158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44">
        <v>185</v>
      </c>
      <c r="H19" s="7">
        <f>95+14+32</f>
        <v>141</v>
      </c>
      <c r="I19" s="7">
        <f>-3+18+3</f>
        <v>18</v>
      </c>
      <c r="J19" s="20">
        <f>-70+7</f>
        <v>-63</v>
      </c>
      <c r="K19" s="7">
        <v>35</v>
      </c>
      <c r="L19" s="44">
        <v>35</v>
      </c>
      <c r="M19" s="7">
        <v>34</v>
      </c>
      <c r="N19" s="7">
        <v>52</v>
      </c>
      <c r="O19" s="7">
        <v>43</v>
      </c>
      <c r="P19" s="7">
        <v>55</v>
      </c>
      <c r="Q19" s="44">
        <v>55</v>
      </c>
      <c r="R19" s="7">
        <v>42</v>
      </c>
      <c r="S19" s="7">
        <v>26</v>
      </c>
      <c r="T19" s="88">
        <v>-23</v>
      </c>
    </row>
    <row r="20" spans="2:20">
      <c r="B20" s="12" t="s">
        <v>159</v>
      </c>
      <c r="C20" s="14">
        <f t="shared" ref="C20:Q20" si="0">SUM(C8:C19)</f>
        <v>5573</v>
      </c>
      <c r="D20" s="14">
        <f t="shared" si="0"/>
        <v>5129</v>
      </c>
      <c r="E20" s="14">
        <f t="shared" si="0"/>
        <v>4919</v>
      </c>
      <c r="F20" s="14">
        <f t="shared" si="0"/>
        <v>2222</v>
      </c>
      <c r="G20" s="57">
        <f t="shared" si="0"/>
        <v>2222</v>
      </c>
      <c r="H20" s="14">
        <f t="shared" si="0"/>
        <v>1534</v>
      </c>
      <c r="I20" s="14">
        <f t="shared" si="0"/>
        <v>1276</v>
      </c>
      <c r="J20" s="14">
        <f t="shared" si="0"/>
        <v>1021</v>
      </c>
      <c r="K20" s="14">
        <f t="shared" si="0"/>
        <v>4718</v>
      </c>
      <c r="L20" s="57">
        <f t="shared" si="0"/>
        <v>4718</v>
      </c>
      <c r="M20" s="14">
        <f>SUM(M8:M19)</f>
        <v>5209</v>
      </c>
      <c r="N20" s="14">
        <f t="shared" si="0"/>
        <v>5683</v>
      </c>
      <c r="O20" s="14">
        <f t="shared" si="0"/>
        <v>6110</v>
      </c>
      <c r="P20" s="14">
        <v>5849</v>
      </c>
      <c r="Q20" s="57">
        <f t="shared" si="0"/>
        <v>5849</v>
      </c>
      <c r="R20" s="14">
        <f>SUM(R8:R19)</f>
        <v>12740</v>
      </c>
      <c r="S20" s="14">
        <f>SUM(S8:S19)</f>
        <v>12354</v>
      </c>
      <c r="T20" s="94">
        <f>SUM(T8:T19)</f>
        <v>11461</v>
      </c>
    </row>
    <row r="21" spans="2:20">
      <c r="B21" s="37" t="s">
        <v>160</v>
      </c>
      <c r="C21" s="11"/>
      <c r="D21" s="11"/>
      <c r="E21" s="11"/>
      <c r="F21" s="11"/>
      <c r="G21" s="51"/>
      <c r="H21" s="11"/>
      <c r="I21" s="11"/>
      <c r="J21" s="11"/>
      <c r="K21" s="11"/>
      <c r="L21" s="51"/>
      <c r="M21" s="11"/>
      <c r="N21" s="11"/>
      <c r="O21" s="11"/>
      <c r="P21" s="11"/>
      <c r="Q21" s="51"/>
      <c r="R21" s="11"/>
      <c r="S21" s="11"/>
      <c r="T21" s="95"/>
    </row>
    <row r="22" spans="2:20">
      <c r="B22" s="39" t="s">
        <v>161</v>
      </c>
      <c r="C22" s="9">
        <v>707</v>
      </c>
      <c r="D22" s="9">
        <v>783</v>
      </c>
      <c r="E22" s="9">
        <v>784</v>
      </c>
      <c r="F22" s="9">
        <v>188</v>
      </c>
      <c r="G22" s="53">
        <v>188</v>
      </c>
      <c r="H22" s="9">
        <v>207</v>
      </c>
      <c r="I22" s="9">
        <v>230</v>
      </c>
      <c r="J22" s="9">
        <v>237</v>
      </c>
      <c r="K22" s="9">
        <v>489</v>
      </c>
      <c r="L22" s="53">
        <v>489</v>
      </c>
      <c r="M22" s="9">
        <v>479</v>
      </c>
      <c r="N22" s="9">
        <v>403</v>
      </c>
      <c r="O22" s="9">
        <v>377</v>
      </c>
      <c r="P22" s="9">
        <v>942</v>
      </c>
      <c r="Q22" s="53">
        <v>942</v>
      </c>
      <c r="R22" s="9">
        <v>930</v>
      </c>
      <c r="S22" s="9">
        <v>862</v>
      </c>
      <c r="T22" s="91">
        <v>879</v>
      </c>
    </row>
    <row r="23" spans="2:20">
      <c r="B23" s="37" t="s">
        <v>162</v>
      </c>
      <c r="C23" s="9"/>
      <c r="D23" s="9"/>
      <c r="E23" s="9"/>
      <c r="F23" s="9"/>
      <c r="G23" s="53"/>
      <c r="H23" s="9"/>
      <c r="I23" s="9"/>
      <c r="J23" s="9"/>
      <c r="K23" s="9"/>
      <c r="L23" s="53"/>
      <c r="M23" s="9"/>
      <c r="N23" s="9"/>
      <c r="O23" s="9"/>
      <c r="P23" s="9"/>
      <c r="Q23" s="53"/>
      <c r="R23" s="9"/>
      <c r="S23" s="9"/>
      <c r="T23" s="91"/>
    </row>
    <row r="24" spans="2:20">
      <c r="B24" s="39" t="s">
        <v>163</v>
      </c>
      <c r="C24" s="9">
        <f>3+53-717+688</f>
        <v>27</v>
      </c>
      <c r="D24" s="20">
        <f>-2+47-58</f>
        <v>-13</v>
      </c>
      <c r="E24" s="20">
        <f>-4+78+28-142</f>
        <v>-40</v>
      </c>
      <c r="F24" s="9">
        <v>4</v>
      </c>
      <c r="G24" s="53">
        <v>4</v>
      </c>
      <c r="H24" s="9">
        <f>50-2+130-14-95</f>
        <v>69</v>
      </c>
      <c r="I24" s="9">
        <f>225+279-18-60</f>
        <v>426</v>
      </c>
      <c r="J24" s="9">
        <f>221+178+253-7</f>
        <v>645</v>
      </c>
      <c r="K24" s="9">
        <v>306</v>
      </c>
      <c r="L24" s="53">
        <v>306</v>
      </c>
      <c r="M24" s="9">
        <v>159</v>
      </c>
      <c r="N24" s="20">
        <v>-12</v>
      </c>
      <c r="O24" s="9">
        <v>25</v>
      </c>
      <c r="P24" s="9">
        <v>10</v>
      </c>
      <c r="Q24" s="53">
        <v>10</v>
      </c>
      <c r="R24" s="9">
        <v>38</v>
      </c>
      <c r="S24" s="9">
        <v>66</v>
      </c>
      <c r="T24" s="91">
        <v>116</v>
      </c>
    </row>
    <row r="25" spans="2:20">
      <c r="B25" s="39" t="s">
        <v>164</v>
      </c>
      <c r="C25" s="9">
        <v>0</v>
      </c>
      <c r="D25" s="9">
        <v>0</v>
      </c>
      <c r="E25" s="9">
        <v>0</v>
      </c>
      <c r="F25" s="9">
        <v>0</v>
      </c>
      <c r="G25" s="53">
        <v>0</v>
      </c>
      <c r="H25" s="9">
        <v>0</v>
      </c>
      <c r="I25" s="9">
        <v>0</v>
      </c>
      <c r="J25" s="9">
        <v>0</v>
      </c>
      <c r="K25" s="20">
        <v>-267</v>
      </c>
      <c r="L25" s="47">
        <v>-267</v>
      </c>
      <c r="M25" s="20">
        <v>-110</v>
      </c>
      <c r="N25" s="20">
        <v>-56</v>
      </c>
      <c r="O25" s="20">
        <v>-204</v>
      </c>
      <c r="P25" s="9">
        <v>211</v>
      </c>
      <c r="Q25" s="53">
        <v>211</v>
      </c>
      <c r="R25" s="9">
        <v>54</v>
      </c>
      <c r="S25" s="9"/>
      <c r="T25" s="91"/>
    </row>
    <row r="26" spans="2:20" s="40" customFormat="1">
      <c r="B26" s="28" t="s">
        <v>165</v>
      </c>
      <c r="C26" s="20">
        <v>-540</v>
      </c>
      <c r="D26" s="20">
        <v>-550</v>
      </c>
      <c r="E26" s="20">
        <v>-550</v>
      </c>
      <c r="F26" s="20">
        <v>-312</v>
      </c>
      <c r="G26" s="47">
        <v>-312</v>
      </c>
      <c r="H26" s="20">
        <v>-10</v>
      </c>
      <c r="I26" s="9">
        <v>249</v>
      </c>
      <c r="J26" s="9">
        <v>392</v>
      </c>
      <c r="K26" s="20">
        <v>-625</v>
      </c>
      <c r="L26" s="47">
        <v>-625</v>
      </c>
      <c r="M26" s="20">
        <v>-625</v>
      </c>
      <c r="N26" s="20">
        <v>-617</v>
      </c>
      <c r="O26" s="20">
        <v>-617</v>
      </c>
      <c r="P26" s="20">
        <v>-130</v>
      </c>
      <c r="Q26" s="47">
        <v>-130</v>
      </c>
      <c r="R26" s="20">
        <v>-6902</v>
      </c>
      <c r="S26" s="20">
        <v>-6841</v>
      </c>
      <c r="T26" s="91">
        <v>-6841</v>
      </c>
    </row>
    <row r="27" spans="2:20" s="40" customFormat="1">
      <c r="B27" s="28" t="s">
        <v>166</v>
      </c>
      <c r="C27" s="9">
        <v>648</v>
      </c>
      <c r="D27" s="9">
        <v>679</v>
      </c>
      <c r="E27" s="9">
        <v>587</v>
      </c>
      <c r="F27" s="9">
        <v>1121</v>
      </c>
      <c r="G27" s="53">
        <v>1121</v>
      </c>
      <c r="H27" s="9">
        <f>1129-130</f>
        <v>999</v>
      </c>
      <c r="I27" s="9">
        <f>1113-309</f>
        <v>804</v>
      </c>
      <c r="J27" s="9">
        <f>1105-71-385</f>
        <v>649</v>
      </c>
      <c r="K27" s="20">
        <v>-10</v>
      </c>
      <c r="L27" s="47">
        <v>-10</v>
      </c>
      <c r="M27" s="20">
        <v>-28</v>
      </c>
      <c r="N27" s="9">
        <v>3</v>
      </c>
      <c r="O27" s="9">
        <v>25</v>
      </c>
      <c r="P27" s="20">
        <v>-24</v>
      </c>
      <c r="Q27" s="47">
        <v>-24</v>
      </c>
      <c r="R27" s="20">
        <v>-22</v>
      </c>
      <c r="S27" s="20">
        <v>-28</v>
      </c>
      <c r="T27" s="91">
        <v>537</v>
      </c>
    </row>
    <row r="28" spans="2:20" s="40" customFormat="1">
      <c r="B28" s="28" t="s">
        <v>167</v>
      </c>
      <c r="C28" s="20">
        <v>-3</v>
      </c>
      <c r="D28" s="9">
        <v>40</v>
      </c>
      <c r="E28" s="9">
        <v>40</v>
      </c>
      <c r="F28" s="9">
        <v>1031</v>
      </c>
      <c r="G28" s="53">
        <v>1031</v>
      </c>
      <c r="H28" s="9">
        <v>1161</v>
      </c>
      <c r="I28" s="9">
        <v>988</v>
      </c>
      <c r="J28" s="9">
        <v>988</v>
      </c>
      <c r="K28" s="20">
        <v>-71</v>
      </c>
      <c r="L28" s="47">
        <v>-71</v>
      </c>
      <c r="M28" s="20">
        <v>-71</v>
      </c>
      <c r="N28" s="20">
        <v>-71</v>
      </c>
      <c r="O28" s="20">
        <v>-71</v>
      </c>
      <c r="P28" s="9">
        <v>0</v>
      </c>
      <c r="Q28" s="53">
        <v>0</v>
      </c>
      <c r="R28" s="9">
        <v>0</v>
      </c>
      <c r="S28" s="9">
        <v>0</v>
      </c>
      <c r="T28" s="91">
        <v>0</v>
      </c>
    </row>
    <row r="29" spans="2:20" s="40" customFormat="1">
      <c r="B29" s="28" t="s">
        <v>168</v>
      </c>
      <c r="C29" s="9">
        <v>43</v>
      </c>
      <c r="D29" s="9">
        <v>40</v>
      </c>
      <c r="E29" s="9">
        <v>38</v>
      </c>
      <c r="F29" s="20">
        <v>-2</v>
      </c>
      <c r="G29" s="47">
        <v>-2</v>
      </c>
      <c r="H29" s="9">
        <v>8</v>
      </c>
      <c r="I29" s="9">
        <v>16</v>
      </c>
      <c r="J29" s="9">
        <v>13</v>
      </c>
      <c r="K29" s="9">
        <v>8</v>
      </c>
      <c r="L29" s="53">
        <v>8</v>
      </c>
      <c r="M29" s="9">
        <v>3</v>
      </c>
      <c r="N29" s="9">
        <v>1</v>
      </c>
      <c r="O29" s="9">
        <v>5</v>
      </c>
      <c r="P29" s="9">
        <v>0</v>
      </c>
      <c r="Q29" s="53">
        <v>0</v>
      </c>
      <c r="R29" s="9">
        <v>0</v>
      </c>
      <c r="S29" s="20">
        <v>-6</v>
      </c>
      <c r="T29" s="91">
        <v>-5</v>
      </c>
    </row>
    <row r="30" spans="2:20" s="40" customFormat="1">
      <c r="B30" s="28" t="s">
        <v>169</v>
      </c>
      <c r="C30" s="9">
        <v>0</v>
      </c>
      <c r="D30" s="9">
        <v>0</v>
      </c>
      <c r="E30" s="9">
        <v>0</v>
      </c>
      <c r="F30" s="9">
        <v>0</v>
      </c>
      <c r="G30" s="53">
        <v>0</v>
      </c>
      <c r="H30" s="9">
        <v>0</v>
      </c>
      <c r="I30" s="9">
        <v>0</v>
      </c>
      <c r="J30" s="9">
        <v>99</v>
      </c>
      <c r="K30" s="9">
        <v>99</v>
      </c>
      <c r="L30" s="53">
        <v>99</v>
      </c>
      <c r="M30" s="9">
        <v>99</v>
      </c>
      <c r="N30" s="9">
        <v>99</v>
      </c>
      <c r="O30" s="9">
        <v>0</v>
      </c>
      <c r="P30" s="9">
        <v>0</v>
      </c>
      <c r="Q30" s="53">
        <v>0</v>
      </c>
      <c r="R30" s="9">
        <v>0</v>
      </c>
      <c r="S30" s="9">
        <v>0</v>
      </c>
      <c r="T30" s="91">
        <v>0</v>
      </c>
    </row>
    <row r="31" spans="2:20" s="40" customFormat="1">
      <c r="B31" s="28" t="s">
        <v>145</v>
      </c>
      <c r="C31" s="9">
        <v>0</v>
      </c>
      <c r="D31" s="9">
        <v>0</v>
      </c>
      <c r="E31" s="9">
        <v>0</v>
      </c>
      <c r="F31" s="9">
        <v>0</v>
      </c>
      <c r="G31" s="53">
        <v>0</v>
      </c>
      <c r="H31" s="9">
        <v>0</v>
      </c>
      <c r="I31" s="9">
        <v>0</v>
      </c>
      <c r="J31" s="9">
        <v>0</v>
      </c>
      <c r="K31" s="9">
        <v>0</v>
      </c>
      <c r="L31" s="53">
        <v>0</v>
      </c>
      <c r="M31" s="9">
        <v>0</v>
      </c>
      <c r="N31" s="20">
        <v>-147</v>
      </c>
      <c r="O31" s="20">
        <v>-147</v>
      </c>
      <c r="P31" s="20">
        <v>-302</v>
      </c>
      <c r="Q31" s="47">
        <v>-302</v>
      </c>
      <c r="R31" s="20">
        <v>-302</v>
      </c>
      <c r="S31" s="20">
        <v>-155</v>
      </c>
      <c r="T31" s="91">
        <v>-155</v>
      </c>
    </row>
    <row r="32" spans="2:20" s="40" customFormat="1">
      <c r="B32" s="28" t="s">
        <v>170</v>
      </c>
      <c r="C32" s="9">
        <v>4</v>
      </c>
      <c r="D32" s="9">
        <v>3</v>
      </c>
      <c r="E32" s="20">
        <v>-2</v>
      </c>
      <c r="F32" s="9">
        <v>1</v>
      </c>
      <c r="G32" s="53">
        <v>1</v>
      </c>
      <c r="H32" s="9">
        <v>1</v>
      </c>
      <c r="I32" s="9">
        <v>48</v>
      </c>
      <c r="J32" s="9">
        <v>48</v>
      </c>
      <c r="K32" s="9">
        <v>113</v>
      </c>
      <c r="L32" s="53">
        <v>113</v>
      </c>
      <c r="M32" s="9">
        <v>107</v>
      </c>
      <c r="N32" s="9">
        <v>142</v>
      </c>
      <c r="O32" s="9">
        <v>402</v>
      </c>
      <c r="P32" s="9">
        <v>322</v>
      </c>
      <c r="Q32" s="53">
        <v>322</v>
      </c>
      <c r="R32" s="9">
        <v>433</v>
      </c>
      <c r="S32" s="9">
        <v>443</v>
      </c>
      <c r="T32" s="91">
        <v>230</v>
      </c>
    </row>
    <row r="33" spans="2:20" s="40" customFormat="1">
      <c r="B33" s="28"/>
      <c r="C33" s="9"/>
      <c r="D33" s="9"/>
      <c r="E33" s="9"/>
      <c r="F33" s="9"/>
      <c r="G33" s="53"/>
      <c r="H33" s="9"/>
      <c r="I33" s="9"/>
      <c r="J33" s="9"/>
      <c r="K33" s="9"/>
      <c r="L33" s="53"/>
      <c r="M33" s="9"/>
      <c r="N33" s="9"/>
      <c r="O33" s="9"/>
      <c r="P33" s="9"/>
      <c r="Q33" s="53"/>
      <c r="R33" s="9"/>
      <c r="S33" s="9"/>
      <c r="T33" s="91"/>
    </row>
    <row r="34" spans="2:20" ht="15.75" thickBot="1">
      <c r="B34" s="1" t="s">
        <v>171</v>
      </c>
      <c r="C34" s="15">
        <f t="shared" ref="C34:Q34" si="1">SUM(C20:C32)</f>
        <v>6459</v>
      </c>
      <c r="D34" s="15">
        <f t="shared" si="1"/>
        <v>6111</v>
      </c>
      <c r="E34" s="15">
        <f t="shared" si="1"/>
        <v>5776</v>
      </c>
      <c r="F34" s="15">
        <f t="shared" si="1"/>
        <v>4253</v>
      </c>
      <c r="G34" s="58">
        <f t="shared" si="1"/>
        <v>4253</v>
      </c>
      <c r="H34" s="15">
        <f t="shared" si="1"/>
        <v>3969</v>
      </c>
      <c r="I34" s="15">
        <f t="shared" si="1"/>
        <v>4037</v>
      </c>
      <c r="J34" s="15">
        <f t="shared" si="1"/>
        <v>4092</v>
      </c>
      <c r="K34" s="15">
        <f t="shared" si="1"/>
        <v>4760</v>
      </c>
      <c r="L34" s="58">
        <f t="shared" si="1"/>
        <v>4760</v>
      </c>
      <c r="M34" s="15">
        <f>SUM(M20:M32)</f>
        <v>5222</v>
      </c>
      <c r="N34" s="15">
        <f t="shared" si="1"/>
        <v>5428</v>
      </c>
      <c r="O34" s="15">
        <f t="shared" si="1"/>
        <v>5905</v>
      </c>
      <c r="P34" s="15">
        <v>6878</v>
      </c>
      <c r="Q34" s="58">
        <f t="shared" si="1"/>
        <v>6878</v>
      </c>
      <c r="R34" s="15">
        <f t="shared" ref="R34:S34" si="2">SUM(R20:R32)</f>
        <v>6969</v>
      </c>
      <c r="S34" s="15">
        <f t="shared" si="2"/>
        <v>6695</v>
      </c>
      <c r="T34" s="96">
        <f t="shared" ref="T34" si="3">SUM(T20:T32)</f>
        <v>6222</v>
      </c>
    </row>
    <row r="35" spans="2:20" ht="15.75" thickTop="1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5"/>
    </row>
    <row r="36" spans="2:20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5"/>
    </row>
    <row r="37" spans="2:20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5"/>
    </row>
    <row r="38" spans="2:20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5"/>
    </row>
    <row r="39" spans="2:20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5"/>
    </row>
    <row r="40" spans="2:20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5"/>
    </row>
    <row r="41" spans="2:20">
      <c r="C41" s="42"/>
      <c r="D41" s="42"/>
      <c r="E41" s="42"/>
      <c r="F41" s="42"/>
      <c r="G41" s="42"/>
      <c r="H41" s="42"/>
      <c r="I41" s="42"/>
      <c r="J41" s="42"/>
    </row>
    <row r="42" spans="2:20">
      <c r="D42" s="42"/>
      <c r="E42" s="42"/>
      <c r="F42" s="42"/>
      <c r="I42" s="42"/>
      <c r="J42" s="42"/>
    </row>
    <row r="43" spans="2:20">
      <c r="D43" s="42"/>
      <c r="E43" s="42"/>
      <c r="F43" s="42"/>
      <c r="I43" s="42"/>
      <c r="J43" s="42"/>
    </row>
    <row r="44" spans="2:20">
      <c r="D44" s="42"/>
      <c r="E44" s="42"/>
      <c r="F44" s="42"/>
      <c r="I44" s="42"/>
      <c r="J44" s="42"/>
    </row>
    <row r="48" spans="2:20">
      <c r="G48" s="42"/>
      <c r="H48" s="42"/>
    </row>
  </sheetData>
  <mergeCells count="4">
    <mergeCell ref="C4:G5"/>
    <mergeCell ref="H4:L5"/>
    <mergeCell ref="M4:Q5"/>
    <mergeCell ref="R4:T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BP</vt:lpstr>
      <vt:lpstr>DRE</vt:lpstr>
      <vt:lpstr>DFC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Robson Vinicius Marques</cp:lastModifiedBy>
  <dcterms:created xsi:type="dcterms:W3CDTF">2019-03-14T19:14:16Z</dcterms:created>
  <dcterms:modified xsi:type="dcterms:W3CDTF">2019-11-13T18:59:35Z</dcterms:modified>
</cp:coreProperties>
</file>