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2/1Q22/"/>
    </mc:Choice>
  </mc:AlternateContent>
  <xr:revisionPtr revIDLastSave="462" documentId="8_{37D2BE90-09D7-4F16-B5B0-862A409C8AD6}" xr6:coauthVersionLast="47" xr6:coauthVersionMax="47" xr10:uidLastSave="{64BC6FB1-54AC-48A3-AF66-6A8F897588EF}"/>
  <bookViews>
    <workbookView xWindow="-109" yWindow="-109" windowWidth="26301" windowHeight="14427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11" l="1"/>
  <c r="AH35" i="11" s="1"/>
  <c r="AG19" i="11"/>
  <c r="AG18" i="11"/>
  <c r="AG17" i="11"/>
  <c r="AG16" i="11"/>
  <c r="AH78" i="8"/>
  <c r="AH58" i="8"/>
  <c r="AH40" i="8"/>
  <c r="AH39" i="8"/>
  <c r="AH99" i="8"/>
  <c r="AH98" i="8"/>
  <c r="AH97" i="8"/>
  <c r="AH96" i="8"/>
  <c r="AH95" i="8"/>
  <c r="AH94" i="8"/>
  <c r="AH89" i="8"/>
  <c r="AH88" i="8"/>
  <c r="AH87" i="8"/>
  <c r="AH86" i="8"/>
  <c r="AH85" i="8"/>
  <c r="AH84" i="8"/>
  <c r="AH83" i="8"/>
  <c r="AH79" i="8"/>
  <c r="AH77" i="8"/>
  <c r="AH76" i="8"/>
  <c r="AH75" i="8"/>
  <c r="AH74" i="8"/>
  <c r="AH73" i="8"/>
  <c r="AH72" i="8"/>
  <c r="AH71" i="8"/>
  <c r="AH70" i="8"/>
  <c r="AH69" i="8"/>
  <c r="AH68" i="8"/>
  <c r="AH67" i="8"/>
  <c r="AH63" i="8"/>
  <c r="AH62" i="8"/>
  <c r="AH59" i="8"/>
  <c r="AH57" i="8"/>
  <c r="AH56" i="8"/>
  <c r="AH55" i="8"/>
  <c r="AH54" i="8"/>
  <c r="AH53" i="8"/>
  <c r="AH51" i="8"/>
  <c r="AH50" i="8"/>
  <c r="AH49" i="8"/>
  <c r="AH48" i="8"/>
  <c r="AH47" i="8"/>
  <c r="AH46" i="8"/>
  <c r="AH45" i="8"/>
  <c r="AH44" i="8"/>
  <c r="AH41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1" i="8"/>
  <c r="AH9" i="8"/>
  <c r="AG90" i="8"/>
  <c r="AG80" i="8"/>
  <c r="AG42" i="8"/>
  <c r="AH43" i="5"/>
  <c r="AH44" i="5" s="1"/>
  <c r="AH42" i="5"/>
  <c r="AH39" i="5"/>
  <c r="AH34" i="5"/>
  <c r="AH33" i="5"/>
  <c r="AH35" i="5" s="1"/>
  <c r="AH28" i="5"/>
  <c r="AH27" i="5"/>
  <c r="AH26" i="5"/>
  <c r="AH25" i="5"/>
  <c r="AH22" i="5"/>
  <c r="AH21" i="5"/>
  <c r="AH20" i="5"/>
  <c r="AH15" i="5"/>
  <c r="AH16" i="5" s="1"/>
  <c r="AH14" i="5"/>
  <c r="AH13" i="5"/>
  <c r="AH9" i="5"/>
  <c r="AH8" i="5"/>
  <c r="AH10" i="5" s="1"/>
  <c r="AG44" i="5"/>
  <c r="AG35" i="5"/>
  <c r="AG29" i="5"/>
  <c r="AG23" i="5"/>
  <c r="AG16" i="5"/>
  <c r="AG10" i="5"/>
  <c r="AA90" i="2"/>
  <c r="AA94" i="2" s="1"/>
  <c r="AA82" i="2"/>
  <c r="AA65" i="2"/>
  <c r="AA67" i="2" s="1"/>
  <c r="AA36" i="2"/>
  <c r="AA44" i="2" s="1"/>
  <c r="AA19" i="2"/>
  <c r="AA21" i="2" s="1"/>
  <c r="AG20" i="11" l="1"/>
  <c r="AG35" i="11" s="1"/>
  <c r="AH90" i="8"/>
  <c r="AH80" i="8"/>
  <c r="AH29" i="5"/>
  <c r="AH23" i="5"/>
  <c r="AH17" i="5"/>
  <c r="AG17" i="5"/>
  <c r="AG30" i="5" s="1"/>
  <c r="AG36" i="5" s="1"/>
  <c r="AG40" i="5" s="1"/>
  <c r="AA83" i="2"/>
  <c r="AA96" i="2" s="1"/>
  <c r="AA46" i="2"/>
  <c r="AH30" i="5" l="1"/>
  <c r="AH36" i="5" s="1"/>
  <c r="AH40" i="5" s="1"/>
  <c r="AE20" i="8" l="1"/>
  <c r="AE42" i="8" s="1"/>
  <c r="AF34" i="8"/>
  <c r="AE90" i="8"/>
  <c r="AE80" i="8"/>
  <c r="AE33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5" i="11" s="1"/>
  <c r="AF20" i="8" l="1"/>
  <c r="AH42" i="8" s="1"/>
  <c r="AE20" i="11"/>
  <c r="AE35" i="11" s="1"/>
  <c r="AF22" i="8" l="1"/>
  <c r="AD44" i="5" l="1"/>
  <c r="AD35" i="5"/>
  <c r="AD29" i="5"/>
  <c r="AD23" i="5"/>
  <c r="AD16" i="5"/>
  <c r="AD10" i="5"/>
  <c r="AD17" i="5" s="1"/>
  <c r="AD30" i="5" s="1"/>
  <c r="AD36" i="5" s="1"/>
  <c r="AD40" i="5" s="1"/>
  <c r="Z19" i="2"/>
  <c r="Z90" i="2" l="1"/>
  <c r="Z94" i="2" s="1"/>
  <c r="Z82" i="2"/>
  <c r="Z65" i="2"/>
  <c r="Z67" i="2" s="1"/>
  <c r="Z36" i="2"/>
  <c r="Z44" i="2" s="1"/>
  <c r="Z21" i="2"/>
  <c r="Z83" i="2" l="1"/>
  <c r="Z96" i="2" s="1"/>
  <c r="Z46" i="2"/>
  <c r="AD20" i="11"/>
  <c r="AD35" i="11" s="1"/>
  <c r="U88" i="8"/>
  <c r="AC90" i="8"/>
  <c r="AC80" i="8"/>
  <c r="AC42" i="8"/>
  <c r="AC44" i="5"/>
  <c r="AC35" i="5"/>
  <c r="AC29" i="5"/>
  <c r="AC23" i="5"/>
  <c r="AC16" i="5"/>
  <c r="AC10" i="5"/>
  <c r="AC17" i="5" l="1"/>
  <c r="AC30" i="5" s="1"/>
  <c r="AC36" i="5" s="1"/>
  <c r="AC40" i="5" s="1"/>
  <c r="Y90" i="2" l="1"/>
  <c r="Y94" i="2" s="1"/>
  <c r="Y82" i="2"/>
  <c r="Y65" i="2"/>
  <c r="Y67" i="2" s="1"/>
  <c r="Y36" i="2"/>
  <c r="Y44" i="2" s="1"/>
  <c r="Y19" i="2"/>
  <c r="Y21" i="2" s="1"/>
  <c r="AC20" i="11"/>
  <c r="AC35" i="11" s="1"/>
  <c r="AF99" i="8"/>
  <c r="AF98" i="8"/>
  <c r="AF95" i="8"/>
  <c r="AF94" i="8"/>
  <c r="AD90" i="8"/>
  <c r="AD80" i="8"/>
  <c r="AD42" i="8"/>
  <c r="AF16" i="5"/>
  <c r="AE16" i="5"/>
  <c r="AE10" i="5"/>
  <c r="AF10" i="5" l="1"/>
  <c r="AF17" i="5" s="1"/>
  <c r="AF80" i="8"/>
  <c r="AF90" i="8"/>
  <c r="Y46" i="2"/>
  <c r="Y83" i="2"/>
  <c r="Y96" i="2" s="1"/>
  <c r="AF42" i="8"/>
  <c r="AE17" i="5"/>
  <c r="X90" i="2" l="1"/>
  <c r="X94" i="2" s="1"/>
  <c r="X82" i="2"/>
  <c r="X65" i="2"/>
  <c r="X67" i="2" s="1"/>
  <c r="X36" i="2"/>
  <c r="X44" i="2" s="1"/>
  <c r="X19" i="2"/>
  <c r="X21" i="2" s="1"/>
  <c r="AB20" i="11"/>
  <c r="AB35" i="11" s="1"/>
  <c r="AB90" i="8"/>
  <c r="AB80" i="8"/>
  <c r="AB42" i="8"/>
  <c r="AB44" i="5"/>
  <c r="AB35" i="5"/>
  <c r="AB29" i="5"/>
  <c r="AB23" i="5"/>
  <c r="AB16" i="5"/>
  <c r="AB10" i="5"/>
  <c r="W90" i="2"/>
  <c r="W94" i="2" s="1"/>
  <c r="W82" i="2"/>
  <c r="W65" i="2"/>
  <c r="W67" i="2" s="1"/>
  <c r="W36" i="2"/>
  <c r="W44" i="2" s="1"/>
  <c r="W19" i="2"/>
  <c r="W21" i="2" s="1"/>
  <c r="AB17" i="5" l="1"/>
  <c r="AB30" i="5" s="1"/>
  <c r="AB36" i="5" s="1"/>
  <c r="AB40" i="5" s="1"/>
  <c r="X83" i="2"/>
  <c r="X96" i="2" s="1"/>
  <c r="X46" i="2"/>
  <c r="W83" i="2"/>
  <c r="W96" i="2" s="1"/>
  <c r="W46" i="2"/>
  <c r="Z20" i="11"/>
  <c r="Z35" i="11" s="1"/>
  <c r="AA20" i="11"/>
  <c r="AA35" i="11" s="1"/>
  <c r="Z90" i="8"/>
  <c r="Z80" i="8"/>
  <c r="AA90" i="8"/>
  <c r="AA80" i="8"/>
  <c r="AA42" i="8"/>
  <c r="Z44" i="5"/>
  <c r="Z35" i="5"/>
  <c r="Z29" i="5"/>
  <c r="Z23" i="5"/>
  <c r="Z16" i="5"/>
  <c r="Z10" i="5"/>
  <c r="AA44" i="5"/>
  <c r="AA35" i="5"/>
  <c r="AA29" i="5"/>
  <c r="AA23" i="5"/>
  <c r="AA16" i="5"/>
  <c r="AA10" i="5"/>
  <c r="V90" i="2"/>
  <c r="V94" i="2" s="1"/>
  <c r="V82" i="2"/>
  <c r="V65" i="2"/>
  <c r="V67" i="2" s="1"/>
  <c r="V36" i="2"/>
  <c r="V44" i="2" s="1"/>
  <c r="V19" i="2"/>
  <c r="V21" i="2" s="1"/>
  <c r="Y20" i="11"/>
  <c r="Y35" i="11" s="1"/>
  <c r="Y90" i="8"/>
  <c r="Y80" i="8"/>
  <c r="Y42" i="8"/>
  <c r="Y44" i="5"/>
  <c r="Y35" i="5"/>
  <c r="Y29" i="5"/>
  <c r="Y23" i="5"/>
  <c r="Y16" i="5"/>
  <c r="Y10" i="5"/>
  <c r="Z42" i="8" l="1"/>
  <c r="Z17" i="5"/>
  <c r="Z30" i="5" s="1"/>
  <c r="Z36" i="5" s="1"/>
  <c r="Z40" i="5" s="1"/>
  <c r="AA17" i="5"/>
  <c r="AA30" i="5" s="1"/>
  <c r="AA36" i="5" s="1"/>
  <c r="AA40" i="5" s="1"/>
  <c r="V83" i="2"/>
  <c r="V96" i="2" s="1"/>
  <c r="V46" i="2"/>
  <c r="Y17" i="5"/>
  <c r="Y30" i="5" s="1"/>
  <c r="Y36" i="5" s="1"/>
  <c r="Y40" i="5" s="1"/>
  <c r="U90" i="2" l="1"/>
  <c r="U94" i="2" s="1"/>
  <c r="U82" i="2"/>
  <c r="U65" i="2"/>
  <c r="U67" i="2" s="1"/>
  <c r="U83" i="2" s="1"/>
  <c r="U36" i="2"/>
  <c r="U44" i="2" s="1"/>
  <c r="U19" i="2"/>
  <c r="U21" i="2" s="1"/>
  <c r="U46" i="2" l="1"/>
  <c r="U96" i="2"/>
  <c r="X20" i="11"/>
  <c r="X35" i="11" s="1"/>
  <c r="U57" i="8"/>
  <c r="P57" i="8"/>
  <c r="K57" i="8"/>
  <c r="F57" i="8"/>
  <c r="U50" i="8"/>
  <c r="P50" i="8"/>
  <c r="K50" i="8"/>
  <c r="F50" i="8"/>
  <c r="X90" i="8"/>
  <c r="X80" i="8"/>
  <c r="X42" i="8"/>
  <c r="X44" i="5"/>
  <c r="X35" i="5"/>
  <c r="X29" i="5"/>
  <c r="X23" i="5"/>
  <c r="X16" i="5"/>
  <c r="X10" i="5"/>
  <c r="X17" i="5" l="1"/>
  <c r="X30" i="5"/>
  <c r="X36" i="5" s="1"/>
  <c r="X40" i="5" s="1"/>
  <c r="T90" i="2" l="1"/>
  <c r="T94" i="2" s="1"/>
  <c r="T82" i="2"/>
  <c r="T65" i="2"/>
  <c r="T67" i="2" s="1"/>
  <c r="T83" i="2" s="1"/>
  <c r="T36" i="2"/>
  <c r="T44" i="2" s="1"/>
  <c r="T19" i="2"/>
  <c r="T21" i="2" s="1"/>
  <c r="T96" i="2" l="1"/>
  <c r="T46" i="2"/>
  <c r="W20" i="11"/>
  <c r="W35" i="11" s="1"/>
  <c r="F41" i="8"/>
  <c r="K41" i="8"/>
  <c r="P41" i="8"/>
  <c r="U41" i="8"/>
  <c r="V42" i="8"/>
  <c r="T42" i="8"/>
  <c r="S42" i="8"/>
  <c r="R42" i="8"/>
  <c r="Q42" i="8"/>
  <c r="M42" i="8"/>
  <c r="H42" i="8"/>
  <c r="C42" i="8"/>
  <c r="W42" i="8"/>
  <c r="W90" i="8"/>
  <c r="W80" i="8"/>
  <c r="W44" i="5"/>
  <c r="W35" i="5"/>
  <c r="W29" i="5"/>
  <c r="W23" i="5"/>
  <c r="W16" i="5"/>
  <c r="W10" i="5"/>
  <c r="S82" i="2"/>
  <c r="S90" i="2"/>
  <c r="S94" i="2" s="1"/>
  <c r="S65" i="2"/>
  <c r="S67" i="2" s="1"/>
  <c r="S36" i="2"/>
  <c r="S44" i="2" s="1"/>
  <c r="S19" i="2"/>
  <c r="S21" i="2" s="1"/>
  <c r="W17" i="5" l="1"/>
  <c r="W30" i="5" s="1"/>
  <c r="W36" i="5" s="1"/>
  <c r="W40" i="5" s="1"/>
  <c r="S83" i="2"/>
  <c r="S96" i="2" s="1"/>
  <c r="S46" i="2"/>
  <c r="U20" i="11"/>
  <c r="U35" i="11" s="1"/>
  <c r="V20" i="11"/>
  <c r="V35" i="11" s="1"/>
  <c r="V80" i="8"/>
  <c r="U79" i="8"/>
  <c r="T80" i="8"/>
  <c r="S80" i="8"/>
  <c r="R80" i="8"/>
  <c r="P79" i="8"/>
  <c r="K79" i="8"/>
  <c r="I76" i="8"/>
  <c r="J76" i="8" s="1"/>
  <c r="F79" i="8"/>
  <c r="C80" i="8"/>
  <c r="U44" i="5" l="1"/>
  <c r="U23" i="5"/>
  <c r="U29" i="5"/>
  <c r="U35" i="5"/>
  <c r="K76" i="8"/>
  <c r="U99" i="8"/>
  <c r="U97" i="8"/>
  <c r="U96" i="8"/>
  <c r="U95" i="8"/>
  <c r="U94" i="8"/>
  <c r="U89" i="8"/>
  <c r="U87" i="8"/>
  <c r="U86" i="8"/>
  <c r="U85" i="8"/>
  <c r="U84" i="8"/>
  <c r="U83" i="8"/>
  <c r="U76" i="8"/>
  <c r="U75" i="8"/>
  <c r="U74" i="8"/>
  <c r="U72" i="8"/>
  <c r="U71" i="8"/>
  <c r="U70" i="8"/>
  <c r="U69" i="8"/>
  <c r="U68" i="8"/>
  <c r="U67" i="8"/>
  <c r="U63" i="8"/>
  <c r="U62" i="8"/>
  <c r="U59" i="8"/>
  <c r="U56" i="8"/>
  <c r="U55" i="8"/>
  <c r="U54" i="8"/>
  <c r="U53" i="8"/>
  <c r="U52" i="8"/>
  <c r="U51" i="8"/>
  <c r="U49" i="8"/>
  <c r="U48" i="8"/>
  <c r="U47" i="8"/>
  <c r="U46" i="8"/>
  <c r="U45" i="8"/>
  <c r="U44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90" i="8"/>
  <c r="U80" i="8"/>
  <c r="V16" i="5"/>
  <c r="V44" i="5"/>
  <c r="V35" i="5"/>
  <c r="V29" i="5"/>
  <c r="V23" i="5"/>
  <c r="V10" i="5"/>
  <c r="R90" i="2"/>
  <c r="R94" i="2" s="1"/>
  <c r="R82" i="2"/>
  <c r="R65" i="2"/>
  <c r="R67" i="2" s="1"/>
  <c r="R36" i="2"/>
  <c r="R44" i="2" s="1"/>
  <c r="R19" i="2"/>
  <c r="R21" i="2" s="1"/>
  <c r="U42" i="8" l="1"/>
  <c r="V17" i="5"/>
  <c r="V30" i="5" s="1"/>
  <c r="V36" i="5" s="1"/>
  <c r="V40" i="5" s="1"/>
  <c r="R83" i="2"/>
  <c r="R96" i="2" s="1"/>
  <c r="R46" i="2"/>
  <c r="N96" i="8" l="1"/>
  <c r="O96" i="8" s="1"/>
  <c r="O20" i="8"/>
  <c r="O23" i="8" l="1"/>
  <c r="S13" i="5"/>
  <c r="U10" i="5"/>
  <c r="U16" i="5" l="1"/>
  <c r="U17" i="5" s="1"/>
  <c r="U30" i="5" s="1"/>
  <c r="U36" i="5" s="1"/>
  <c r="U40" i="5" s="1"/>
  <c r="T20" i="11"/>
  <c r="T35" i="11" s="1"/>
  <c r="O15" i="8"/>
  <c r="O11" i="8"/>
  <c r="O9" i="8"/>
  <c r="T90" i="8" l="1"/>
  <c r="T44" i="5" l="1"/>
  <c r="T35" i="5"/>
  <c r="T29" i="5"/>
  <c r="T23" i="5"/>
  <c r="T16" i="5"/>
  <c r="T10" i="5"/>
  <c r="T17" i="5" l="1"/>
  <c r="T30" i="5" s="1"/>
  <c r="T36" i="5" s="1"/>
  <c r="T40" i="5" s="1"/>
  <c r="Q90" i="2" l="1"/>
  <c r="Q94" i="2" s="1"/>
  <c r="Q82" i="2"/>
  <c r="Q65" i="2"/>
  <c r="Q67" i="2" s="1"/>
  <c r="Q36" i="2"/>
  <c r="Q44" i="2" s="1"/>
  <c r="Q19" i="2"/>
  <c r="Q21" i="2" s="1"/>
  <c r="Q83" i="2" l="1"/>
  <c r="Q96" i="2" s="1"/>
  <c r="Q46" i="2"/>
  <c r="S20" i="11" l="1"/>
  <c r="S35" i="11" s="1"/>
  <c r="S90" i="8" l="1"/>
  <c r="S44" i="5"/>
  <c r="S35" i="5"/>
  <c r="S29" i="5"/>
  <c r="S23" i="5"/>
  <c r="S16" i="5"/>
  <c r="S10" i="5"/>
  <c r="P90" i="2"/>
  <c r="P94" i="2" s="1"/>
  <c r="P82" i="2"/>
  <c r="P65" i="2"/>
  <c r="P67" i="2" s="1"/>
  <c r="P36" i="2"/>
  <c r="P44" i="2" s="1"/>
  <c r="P19" i="2"/>
  <c r="P21" i="2" s="1"/>
  <c r="S17" i="5" l="1"/>
  <c r="S30" i="5" s="1"/>
  <c r="S36" i="5" s="1"/>
  <c r="S40" i="5" s="1"/>
  <c r="P83" i="2"/>
  <c r="P96" i="2" s="1"/>
  <c r="P46" i="2"/>
  <c r="R20" i="11" l="1"/>
  <c r="J27" i="11" l="1"/>
  <c r="I27" i="11"/>
  <c r="H27" i="11"/>
  <c r="J24" i="11"/>
  <c r="I24" i="11"/>
  <c r="H24" i="11"/>
  <c r="E24" i="11"/>
  <c r="D24" i="11"/>
  <c r="C24" i="11"/>
  <c r="R35" i="11"/>
  <c r="Q20" i="11"/>
  <c r="Q35" i="11" s="1"/>
  <c r="O20" i="11"/>
  <c r="O35" i="11" s="1"/>
  <c r="N20" i="11"/>
  <c r="N35" i="11" s="1"/>
  <c r="L20" i="11"/>
  <c r="L35" i="11" s="1"/>
  <c r="K20" i="11"/>
  <c r="K35" i="11" s="1"/>
  <c r="G20" i="11"/>
  <c r="G35" i="11" s="1"/>
  <c r="F20" i="11"/>
  <c r="F35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5" i="11" s="1"/>
  <c r="J12" i="11"/>
  <c r="I12" i="11"/>
  <c r="H12" i="11"/>
  <c r="E12" i="11"/>
  <c r="D12" i="11"/>
  <c r="C12" i="11"/>
  <c r="I11" i="11"/>
  <c r="H11" i="11"/>
  <c r="E11" i="11"/>
  <c r="D11" i="11"/>
  <c r="C11" i="11"/>
  <c r="N97" i="8"/>
  <c r="I97" i="8"/>
  <c r="D97" i="8"/>
  <c r="Q96" i="8"/>
  <c r="P95" i="8"/>
  <c r="K95" i="8"/>
  <c r="P94" i="8"/>
  <c r="K94" i="8"/>
  <c r="D94" i="8"/>
  <c r="E94" i="8" s="1"/>
  <c r="F94" i="8" s="1"/>
  <c r="R90" i="8"/>
  <c r="U90" i="8" s="1"/>
  <c r="M90" i="8"/>
  <c r="L90" i="8"/>
  <c r="H90" i="8"/>
  <c r="G90" i="8"/>
  <c r="C90" i="8"/>
  <c r="Q89" i="8"/>
  <c r="Q90" i="8" s="1"/>
  <c r="N89" i="8"/>
  <c r="O89" i="8" s="1"/>
  <c r="I89" i="8"/>
  <c r="D89" i="8"/>
  <c r="E89" i="8" s="1"/>
  <c r="N87" i="8"/>
  <c r="O87" i="8" s="1"/>
  <c r="P87" i="8" s="1"/>
  <c r="N86" i="8"/>
  <c r="I86" i="8"/>
  <c r="D86" i="8"/>
  <c r="E86" i="8" s="1"/>
  <c r="F86" i="8" s="1"/>
  <c r="N84" i="8"/>
  <c r="I84" i="8"/>
  <c r="D84" i="8"/>
  <c r="E84" i="8" s="1"/>
  <c r="N83" i="8"/>
  <c r="I83" i="8"/>
  <c r="J83" i="8" s="1"/>
  <c r="D83" i="8"/>
  <c r="Q80" i="8"/>
  <c r="M80" i="8"/>
  <c r="L80" i="8"/>
  <c r="H80" i="8"/>
  <c r="N76" i="8"/>
  <c r="O76" i="8" s="1"/>
  <c r="P76" i="8" s="1"/>
  <c r="D76" i="8"/>
  <c r="E76" i="8" s="1"/>
  <c r="N75" i="8"/>
  <c r="I75" i="8"/>
  <c r="J75" i="8" s="1"/>
  <c r="K75" i="8" s="1"/>
  <c r="D75" i="8"/>
  <c r="E75" i="8" s="1"/>
  <c r="F75" i="8" s="1"/>
  <c r="N74" i="8"/>
  <c r="O74" i="8" s="1"/>
  <c r="I74" i="8"/>
  <c r="G74" i="8"/>
  <c r="D74" i="8"/>
  <c r="P72" i="8"/>
  <c r="N71" i="8"/>
  <c r="O71" i="8" s="1"/>
  <c r="I71" i="8"/>
  <c r="D71" i="8"/>
  <c r="N70" i="8"/>
  <c r="I70" i="8"/>
  <c r="J70" i="8" s="1"/>
  <c r="G70" i="8"/>
  <c r="G80" i="8" s="1"/>
  <c r="D70" i="8"/>
  <c r="E70" i="8" s="1"/>
  <c r="P69" i="8"/>
  <c r="K69" i="8"/>
  <c r="P68" i="8"/>
  <c r="K68" i="8"/>
  <c r="N67" i="8"/>
  <c r="O67" i="8" s="1"/>
  <c r="I67" i="8"/>
  <c r="J67" i="8" s="1"/>
  <c r="D67" i="8"/>
  <c r="N63" i="8"/>
  <c r="I63" i="8"/>
  <c r="D63" i="8"/>
  <c r="N62" i="8"/>
  <c r="I62" i="8"/>
  <c r="D62" i="8"/>
  <c r="N59" i="8"/>
  <c r="H59" i="8"/>
  <c r="I59" i="8" s="1"/>
  <c r="J59" i="8" s="1"/>
  <c r="C59" i="8"/>
  <c r="D59" i="8" s="1"/>
  <c r="E59" i="8" s="1"/>
  <c r="N56" i="8"/>
  <c r="O56" i="8" s="1"/>
  <c r="P56" i="8" s="1"/>
  <c r="I56" i="8"/>
  <c r="D56" i="8"/>
  <c r="N55" i="8"/>
  <c r="I55" i="8"/>
  <c r="J55" i="8" s="1"/>
  <c r="D55" i="8"/>
  <c r="N54" i="8"/>
  <c r="O54" i="8" s="1"/>
  <c r="I54" i="8"/>
  <c r="G54" i="8"/>
  <c r="D54" i="8"/>
  <c r="E54" i="8" s="1"/>
  <c r="N53" i="8"/>
  <c r="O53" i="8" s="1"/>
  <c r="I53" i="8"/>
  <c r="D53" i="8"/>
  <c r="E53" i="8" s="1"/>
  <c r="N51" i="8"/>
  <c r="O51" i="8" s="1"/>
  <c r="P51" i="8" s="1"/>
  <c r="I51" i="8"/>
  <c r="D51" i="8"/>
  <c r="N49" i="8"/>
  <c r="I49" i="8"/>
  <c r="J49" i="8" s="1"/>
  <c r="K49" i="8" s="1"/>
  <c r="D49" i="8"/>
  <c r="N48" i="8"/>
  <c r="I48" i="8"/>
  <c r="J48" i="8" s="1"/>
  <c r="D48" i="8"/>
  <c r="E48" i="8" s="1"/>
  <c r="F48" i="8" s="1"/>
  <c r="N47" i="8"/>
  <c r="I47" i="8"/>
  <c r="D47" i="8"/>
  <c r="E47" i="8" s="1"/>
  <c r="N46" i="8"/>
  <c r="I46" i="8"/>
  <c r="J46" i="8" s="1"/>
  <c r="D46" i="8"/>
  <c r="N45" i="8"/>
  <c r="O45" i="8" s="1"/>
  <c r="I45" i="8"/>
  <c r="D45" i="8"/>
  <c r="N44" i="8"/>
  <c r="I44" i="8"/>
  <c r="J44" i="8" s="1"/>
  <c r="D44" i="8"/>
  <c r="N37" i="8"/>
  <c r="I37" i="8"/>
  <c r="J37" i="8" s="1"/>
  <c r="K37" i="8" s="1"/>
  <c r="D37" i="8"/>
  <c r="P36" i="8"/>
  <c r="P34" i="8"/>
  <c r="N33" i="8"/>
  <c r="N32" i="8"/>
  <c r="N31" i="8"/>
  <c r="I31" i="8"/>
  <c r="J31" i="8" s="1"/>
  <c r="K31" i="8" s="1"/>
  <c r="D31" i="8"/>
  <c r="E31" i="8" s="1"/>
  <c r="F31" i="8" s="1"/>
  <c r="N30" i="8"/>
  <c r="I30" i="8"/>
  <c r="D30" i="8"/>
  <c r="E30" i="8" s="1"/>
  <c r="F30" i="8" s="1"/>
  <c r="N29" i="8"/>
  <c r="I29" i="8"/>
  <c r="D29" i="8"/>
  <c r="P28" i="8"/>
  <c r="K28" i="8"/>
  <c r="F28" i="8"/>
  <c r="N27" i="8"/>
  <c r="O27" i="8" s="1"/>
  <c r="I27" i="8"/>
  <c r="D27" i="8"/>
  <c r="P26" i="8"/>
  <c r="I26" i="8"/>
  <c r="E26" i="8"/>
  <c r="F26" i="8" s="1"/>
  <c r="O25" i="8"/>
  <c r="P25" i="8" s="1"/>
  <c r="J25" i="8"/>
  <c r="K25" i="8" s="1"/>
  <c r="O24" i="8"/>
  <c r="P24" i="8" s="1"/>
  <c r="I24" i="8"/>
  <c r="J24" i="8" s="1"/>
  <c r="D24" i="8"/>
  <c r="P23" i="8"/>
  <c r="I23" i="8"/>
  <c r="J23" i="8" s="1"/>
  <c r="K23" i="8" s="1"/>
  <c r="D23" i="8"/>
  <c r="N22" i="8"/>
  <c r="I22" i="8"/>
  <c r="J22" i="8" s="1"/>
  <c r="G22" i="8"/>
  <c r="D22" i="8"/>
  <c r="E22" i="8" s="1"/>
  <c r="P21" i="8"/>
  <c r="J21" i="8"/>
  <c r="K21" i="8" s="1"/>
  <c r="I20" i="8"/>
  <c r="D20" i="8"/>
  <c r="E20" i="8" s="1"/>
  <c r="F20" i="8" s="1"/>
  <c r="P19" i="8"/>
  <c r="I19" i="8"/>
  <c r="E19" i="8"/>
  <c r="F19" i="8" s="1"/>
  <c r="P18" i="8"/>
  <c r="I17" i="8"/>
  <c r="J17" i="8" s="1"/>
  <c r="D17" i="8"/>
  <c r="E17" i="8" s="1"/>
  <c r="F17" i="8" s="1"/>
  <c r="I15" i="8"/>
  <c r="D15" i="8"/>
  <c r="E15" i="8" s="1"/>
  <c r="P14" i="8"/>
  <c r="L14" i="8"/>
  <c r="L42" i="8" s="1"/>
  <c r="F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O90" i="2"/>
  <c r="O94" i="2" s="1"/>
  <c r="N90" i="2"/>
  <c r="N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O65" i="2"/>
  <c r="O67" i="2" s="1"/>
  <c r="N65" i="2"/>
  <c r="N67" i="2" s="1"/>
  <c r="M65" i="2"/>
  <c r="M67" i="2" s="1"/>
  <c r="L65" i="2"/>
  <c r="L67" i="2" s="1"/>
  <c r="K65" i="2"/>
  <c r="K67" i="2" s="1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D67" i="2" s="1"/>
  <c r="C65" i="2"/>
  <c r="C67" i="2" s="1"/>
  <c r="O36" i="2"/>
  <c r="O44" i="2" s="1"/>
  <c r="N36" i="2"/>
  <c r="N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9" i="2"/>
  <c r="O21" i="2" s="1"/>
  <c r="N19" i="2"/>
  <c r="N21" i="2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I20" i="11" l="1"/>
  <c r="I35" i="11" s="1"/>
  <c r="I42" i="8"/>
  <c r="O22" i="8"/>
  <c r="P22" i="8" s="1"/>
  <c r="N42" i="8"/>
  <c r="D42" i="8"/>
  <c r="G42" i="8"/>
  <c r="O29" i="8"/>
  <c r="P29" i="8" s="1"/>
  <c r="D35" i="5"/>
  <c r="J10" i="5"/>
  <c r="E33" i="5"/>
  <c r="E35" i="5" s="1"/>
  <c r="E29" i="5"/>
  <c r="N44" i="5"/>
  <c r="E46" i="2"/>
  <c r="I46" i="2"/>
  <c r="M46" i="2"/>
  <c r="C83" i="2"/>
  <c r="C96" i="2" s="1"/>
  <c r="G83" i="2"/>
  <c r="G96" i="2" s="1"/>
  <c r="K83" i="2"/>
  <c r="K96" i="2" s="1"/>
  <c r="O83" i="2"/>
  <c r="O96" i="2" s="1"/>
  <c r="D83" i="2"/>
  <c r="D96" i="2" s="1"/>
  <c r="H83" i="2"/>
  <c r="H96" i="2" s="1"/>
  <c r="L83" i="2"/>
  <c r="L96" i="2" s="1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N46" i="2"/>
  <c r="O63" i="8"/>
  <c r="P63" i="8" s="1"/>
  <c r="C46" i="2"/>
  <c r="G46" i="2"/>
  <c r="K46" i="2"/>
  <c r="O46" i="2"/>
  <c r="E83" i="2"/>
  <c r="E96" i="2" s="1"/>
  <c r="I83" i="2"/>
  <c r="I96" i="2" s="1"/>
  <c r="M83" i="2"/>
  <c r="M96" i="2" s="1"/>
  <c r="D23" i="5"/>
  <c r="F54" i="8"/>
  <c r="O33" i="8"/>
  <c r="P33" i="8" s="1"/>
  <c r="F83" i="2"/>
  <c r="F96" i="2" s="1"/>
  <c r="J83" i="2"/>
  <c r="J96" i="2" s="1"/>
  <c r="N83" i="2"/>
  <c r="N96" i="2" s="1"/>
  <c r="I16" i="5"/>
  <c r="J19" i="8"/>
  <c r="K19" i="8" s="1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5" i="11" s="1"/>
  <c r="D16" i="5"/>
  <c r="L17" i="5"/>
  <c r="L30" i="5" s="1"/>
  <c r="L36" i="5" s="1"/>
  <c r="L40" i="5" s="1"/>
  <c r="N23" i="5"/>
  <c r="L46" i="2"/>
  <c r="I35" i="5"/>
  <c r="E44" i="5"/>
  <c r="H20" i="11"/>
  <c r="H35" i="11" s="1"/>
  <c r="H46" i="2"/>
  <c r="C17" i="5"/>
  <c r="C30" i="5" s="1"/>
  <c r="C36" i="5" s="1"/>
  <c r="C40" i="5" s="1"/>
  <c r="E20" i="11"/>
  <c r="E35" i="11" s="1"/>
  <c r="J20" i="11"/>
  <c r="J35" i="11" s="1"/>
  <c r="D46" i="2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P96" i="8"/>
  <c r="D20" i="11"/>
  <c r="D35" i="11" s="1"/>
  <c r="N90" i="8"/>
  <c r="E9" i="8"/>
  <c r="K17" i="8"/>
  <c r="E45" i="8"/>
  <c r="F45" i="8" s="1"/>
  <c r="E71" i="8"/>
  <c r="F71" i="8" s="1"/>
  <c r="J97" i="8"/>
  <c r="K97" i="8" s="1"/>
  <c r="F15" i="8"/>
  <c r="J20" i="8"/>
  <c r="K20" i="8" s="1"/>
  <c r="O37" i="8"/>
  <c r="P37" i="8" s="1"/>
  <c r="K46" i="8"/>
  <c r="O49" i="8"/>
  <c r="P49" i="8" s="1"/>
  <c r="P53" i="8"/>
  <c r="K55" i="8"/>
  <c r="E56" i="8"/>
  <c r="F56" i="8" s="1"/>
  <c r="E62" i="8"/>
  <c r="F62" i="8" s="1"/>
  <c r="E63" i="8"/>
  <c r="F63" i="8" s="1"/>
  <c r="D80" i="8"/>
  <c r="F84" i="8"/>
  <c r="O84" i="8"/>
  <c r="P84" i="8" s="1"/>
  <c r="P11" i="8"/>
  <c r="K24" i="8"/>
  <c r="J26" i="8"/>
  <c r="K26" i="8" s="1"/>
  <c r="P27" i="8"/>
  <c r="K44" i="8"/>
  <c r="F47" i="8"/>
  <c r="O47" i="8"/>
  <c r="P47" i="8" s="1"/>
  <c r="J51" i="8"/>
  <c r="K51" i="8" s="1"/>
  <c r="O62" i="8"/>
  <c r="P62" i="8" s="1"/>
  <c r="K70" i="8"/>
  <c r="P74" i="8"/>
  <c r="J86" i="8"/>
  <c r="K86" i="8" s="1"/>
  <c r="F22" i="8"/>
  <c r="P45" i="8"/>
  <c r="K48" i="8"/>
  <c r="E49" i="8"/>
  <c r="F49" i="8" s="1"/>
  <c r="F53" i="8"/>
  <c r="P54" i="8"/>
  <c r="I80" i="8"/>
  <c r="P71" i="8"/>
  <c r="F76" i="8"/>
  <c r="I90" i="8"/>
  <c r="F89" i="8"/>
  <c r="J9" i="8"/>
  <c r="P9" i="8"/>
  <c r="K14" i="8"/>
  <c r="K11" i="8"/>
  <c r="F11" i="8"/>
  <c r="P15" i="8"/>
  <c r="K22" i="8"/>
  <c r="O44" i="8"/>
  <c r="P44" i="8" s="1"/>
  <c r="E46" i="8"/>
  <c r="F46" i="8" s="1"/>
  <c r="J47" i="8"/>
  <c r="K47" i="8" s="1"/>
  <c r="O48" i="8"/>
  <c r="P48" i="8" s="1"/>
  <c r="E51" i="8"/>
  <c r="F51" i="8" s="1"/>
  <c r="J53" i="8"/>
  <c r="K53" i="8" s="1"/>
  <c r="E55" i="8"/>
  <c r="F55" i="8" s="1"/>
  <c r="J56" i="8"/>
  <c r="K56" i="8" s="1"/>
  <c r="F59" i="8"/>
  <c r="K59" i="8"/>
  <c r="J62" i="8"/>
  <c r="K62" i="8" s="1"/>
  <c r="J63" i="8"/>
  <c r="K63" i="8" s="1"/>
  <c r="P67" i="8"/>
  <c r="F70" i="8"/>
  <c r="J71" i="8"/>
  <c r="K71" i="8" s="1"/>
  <c r="N80" i="8"/>
  <c r="O83" i="8"/>
  <c r="E97" i="8"/>
  <c r="F97" i="8" s="1"/>
  <c r="J15" i="8"/>
  <c r="K15" i="8" s="1"/>
  <c r="O17" i="8"/>
  <c r="P20" i="8"/>
  <c r="E23" i="8"/>
  <c r="F23" i="8" s="1"/>
  <c r="E24" i="8"/>
  <c r="F24" i="8" s="1"/>
  <c r="J27" i="8"/>
  <c r="K27" i="8" s="1"/>
  <c r="J29" i="8"/>
  <c r="K29" i="8" s="1"/>
  <c r="O30" i="8"/>
  <c r="P30" i="8" s="1"/>
  <c r="O32" i="8"/>
  <c r="P32" i="8" s="1"/>
  <c r="E37" i="8"/>
  <c r="F37" i="8" s="1"/>
  <c r="D90" i="8"/>
  <c r="E27" i="8"/>
  <c r="F27" i="8" s="1"/>
  <c r="E29" i="8"/>
  <c r="F29" i="8" s="1"/>
  <c r="J30" i="8"/>
  <c r="K30" i="8" s="1"/>
  <c r="O31" i="8"/>
  <c r="P31" i="8" s="1"/>
  <c r="E44" i="8"/>
  <c r="F44" i="8" s="1"/>
  <c r="J45" i="8"/>
  <c r="K45" i="8" s="1"/>
  <c r="O46" i="8"/>
  <c r="P46" i="8" s="1"/>
  <c r="J54" i="8"/>
  <c r="K54" i="8" s="1"/>
  <c r="O55" i="8"/>
  <c r="P55" i="8" s="1"/>
  <c r="O59" i="8"/>
  <c r="P59" i="8" s="1"/>
  <c r="E67" i="8"/>
  <c r="K67" i="8"/>
  <c r="O70" i="8"/>
  <c r="P70" i="8" s="1"/>
  <c r="E74" i="8"/>
  <c r="F74" i="8" s="1"/>
  <c r="J74" i="8"/>
  <c r="K74" i="8" s="1"/>
  <c r="O75" i="8"/>
  <c r="P75" i="8" s="1"/>
  <c r="E83" i="8"/>
  <c r="E90" i="8" s="1"/>
  <c r="K83" i="8"/>
  <c r="J84" i="8"/>
  <c r="O86" i="8"/>
  <c r="P86" i="8" s="1"/>
  <c r="J89" i="8"/>
  <c r="K89" i="8" s="1"/>
  <c r="P89" i="8"/>
  <c r="O97" i="8"/>
  <c r="P97" i="8" s="1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N16" i="5"/>
  <c r="N17" i="5" s="1"/>
  <c r="N29" i="5"/>
  <c r="I44" i="5"/>
  <c r="K8" i="5"/>
  <c r="K10" i="5" s="1"/>
  <c r="P20" i="5"/>
  <c r="P25" i="5"/>
  <c r="P29" i="5" s="1"/>
  <c r="F46" i="2"/>
  <c r="J46" i="2"/>
  <c r="I17" i="5" l="1"/>
  <c r="O42" i="8"/>
  <c r="F9" i="8"/>
  <c r="F42" i="8" s="1"/>
  <c r="E42" i="8"/>
  <c r="K9" i="8"/>
  <c r="K42" i="8" s="1"/>
  <c r="J42" i="8"/>
  <c r="F20" i="5"/>
  <c r="F23" i="5" s="1"/>
  <c r="F33" i="5"/>
  <c r="F35" i="5" s="1"/>
  <c r="P23" i="5"/>
  <c r="J17" i="5"/>
  <c r="J30" i="5" s="1"/>
  <c r="J35" i="5"/>
  <c r="D17" i="5"/>
  <c r="N30" i="5"/>
  <c r="N36" i="5" s="1"/>
  <c r="N40" i="5" s="1"/>
  <c r="O23" i="5"/>
  <c r="K13" i="5"/>
  <c r="K16" i="5" s="1"/>
  <c r="K17" i="5" s="1"/>
  <c r="K30" i="5" s="1"/>
  <c r="K36" i="5" s="1"/>
  <c r="K40" i="5" s="1"/>
  <c r="J90" i="8"/>
  <c r="P80" i="8"/>
  <c r="P17" i="8"/>
  <c r="E80" i="8"/>
  <c r="F67" i="8"/>
  <c r="F80" i="8" s="1"/>
  <c r="J80" i="8"/>
  <c r="K84" i="8"/>
  <c r="K90" i="8" s="1"/>
  <c r="K80" i="8"/>
  <c r="P83" i="8"/>
  <c r="P90" i="8" s="1"/>
  <c r="O90" i="8"/>
  <c r="O80" i="8"/>
  <c r="F83" i="8"/>
  <c r="F90" i="8" s="1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D30" i="5"/>
  <c r="D36" i="5" s="1"/>
  <c r="D40" i="5" s="1"/>
  <c r="F30" i="5" l="1"/>
  <c r="P42" i="8"/>
  <c r="F36" i="5"/>
  <c r="F40" i="5" s="1"/>
  <c r="P30" i="5"/>
  <c r="P36" i="5" s="1"/>
  <c r="P40" i="5" s="1"/>
  <c r="J36" i="5"/>
  <c r="J40" i="5" s="1"/>
  <c r="O30" i="5"/>
  <c r="O36" i="5" s="1"/>
  <c r="O40" i="5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  <c r="V60" i="8" l="1"/>
  <c r="V64" i="8" s="1"/>
  <c r="V92" i="8" s="1"/>
  <c r="V100" i="8" l="1"/>
  <c r="AB60" i="8" l="1"/>
  <c r="AB64" i="8" s="1"/>
  <c r="AB92" i="8" s="1"/>
  <c r="AB100" i="8" s="1"/>
  <c r="N60" i="8" l="1"/>
  <c r="N64" i="8" s="1"/>
  <c r="N92" i="8" s="1"/>
  <c r="N100" i="8" s="1"/>
  <c r="L60" i="8"/>
  <c r="L64" i="8" s="1"/>
  <c r="L92" i="8" s="1"/>
  <c r="L100" i="8" s="1"/>
  <c r="H60" i="8"/>
  <c r="H64" i="8" s="1"/>
  <c r="H92" i="8" s="1"/>
  <c r="H100" i="8" s="1"/>
  <c r="AH60" i="8"/>
  <c r="AH64" i="8" s="1"/>
  <c r="AH92" i="8" s="1"/>
  <c r="AH100" i="8" s="1"/>
  <c r="AF60" i="8"/>
  <c r="AF64" i="8" s="1"/>
  <c r="AF92" i="8" s="1"/>
  <c r="AF100" i="8" s="1"/>
  <c r="Y60" i="8"/>
  <c r="Y64" i="8" s="1"/>
  <c r="Y92" i="8" s="1"/>
  <c r="Y100" i="8" s="1"/>
  <c r="J60" i="8"/>
  <c r="J64" i="8" s="1"/>
  <c r="J92" i="8" s="1"/>
  <c r="J100" i="8" s="1"/>
  <c r="P60" i="8"/>
  <c r="P64" i="8" s="1"/>
  <c r="P92" i="8" s="1"/>
  <c r="P100" i="8" s="1"/>
  <c r="AD60" i="8"/>
  <c r="AD64" i="8" s="1"/>
  <c r="AD92" i="8" s="1"/>
  <c r="AA60" i="8" l="1"/>
  <c r="AA64" i="8" s="1"/>
  <c r="AA92" i="8" s="1"/>
  <c r="AA100" i="8" s="1"/>
  <c r="T60" i="8"/>
  <c r="T64" i="8" s="1"/>
  <c r="T92" i="8" s="1"/>
  <c r="T100" i="8" s="1"/>
  <c r="AC60" i="8"/>
  <c r="AC64" i="8" s="1"/>
  <c r="AC92" i="8" s="1"/>
  <c r="AC100" i="8" s="1"/>
  <c r="AD99" i="8" s="1"/>
  <c r="AD100" i="8" s="1"/>
  <c r="AE99" i="8" s="1"/>
  <c r="AE100" i="8" s="1"/>
  <c r="I60" i="8"/>
  <c r="I64" i="8" s="1"/>
  <c r="I92" i="8" s="1"/>
  <c r="I100" i="8" s="1"/>
  <c r="R60" i="8"/>
  <c r="R64" i="8" s="1"/>
  <c r="Z60" i="8" l="1"/>
  <c r="Z64" i="8" s="1"/>
  <c r="Z92" i="8" s="1"/>
  <c r="Z100" i="8" s="1"/>
  <c r="F60" i="8"/>
  <c r="F64" i="8" s="1"/>
  <c r="F92" i="8" s="1"/>
  <c r="F100" i="8" s="1"/>
  <c r="K60" i="8"/>
  <c r="K64" i="8" s="1"/>
  <c r="K92" i="8" s="1"/>
  <c r="K100" i="8" s="1"/>
  <c r="M60" i="8"/>
  <c r="M64" i="8" s="1"/>
  <c r="M92" i="8" s="1"/>
  <c r="M100" i="8" s="1"/>
  <c r="S60" i="8"/>
  <c r="S64" i="8" s="1"/>
  <c r="S92" i="8" s="1"/>
  <c r="S100" i="8" s="1"/>
  <c r="U64" i="8"/>
  <c r="R92" i="8"/>
  <c r="AG60" i="8"/>
  <c r="AG64" i="8" s="1"/>
  <c r="AG92" i="8" s="1"/>
  <c r="AG100" i="8" s="1"/>
  <c r="G60" i="8"/>
  <c r="G64" i="8" s="1"/>
  <c r="G92" i="8" s="1"/>
  <c r="G100" i="8" s="1"/>
  <c r="X60" i="8"/>
  <c r="X64" i="8" s="1"/>
  <c r="X92" i="8" s="1"/>
  <c r="X100" i="8" s="1"/>
  <c r="D60" i="8"/>
  <c r="D64" i="8" s="1"/>
  <c r="D92" i="8" s="1"/>
  <c r="D100" i="8" s="1"/>
  <c r="E60" i="8"/>
  <c r="E64" i="8" s="1"/>
  <c r="E92" i="8" s="1"/>
  <c r="E100" i="8" s="1"/>
  <c r="AE60" i="8"/>
  <c r="AE64" i="8" s="1"/>
  <c r="O60" i="8"/>
  <c r="O64" i="8" s="1"/>
  <c r="O92" i="8" s="1"/>
  <c r="O100" i="8" s="1"/>
  <c r="R100" i="8" l="1"/>
  <c r="U100" i="8" s="1"/>
  <c r="U92" i="8"/>
  <c r="U60" i="8"/>
  <c r="Q60" i="8"/>
  <c r="Q64" i="8" s="1"/>
  <c r="Q92" i="8" s="1"/>
  <c r="Q100" i="8" s="1"/>
  <c r="W60" i="8" l="1"/>
  <c r="W64" i="8" s="1"/>
  <c r="W92" i="8" s="1"/>
  <c r="W100" i="8" s="1"/>
  <c r="C60" i="8"/>
  <c r="C64" i="8" s="1"/>
  <c r="C92" i="8" s="1"/>
  <c r="C100" i="8" s="1"/>
</calcChain>
</file>

<file path=xl/sharedStrings.xml><?xml version="1.0" encoding="utf-8"?>
<sst xmlns="http://schemas.openxmlformats.org/spreadsheetml/2006/main" count="331" uniqueCount="238">
  <si>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</si>
  <si>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</si>
  <si>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</si>
  <si>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</si>
  <si>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</si>
  <si>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</si>
  <si>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</si>
  <si>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</si>
  <si>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</si>
  <si>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</si>
  <si>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</si>
  <si>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</si>
  <si>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</si>
  <si>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</si>
  <si>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</si>
  <si>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</si>
  <si>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</si>
  <si>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</si>
  <si>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</si>
  <si>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</si>
  <si>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</si>
  <si>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</si>
  <si>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</si>
  <si>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</si>
  <si>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</si>
  <si>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</si>
  <si>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</si>
  <si>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</si>
  <si>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</si>
  <si>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</si>
  <si>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</si>
  <si>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</si>
  <si>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</si>
  <si>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</si>
  <si>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</si>
  <si>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</si>
  <si>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</si>
  <si>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</si>
  <si>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</si>
  <si>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</si>
  <si>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</si>
  <si>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</si>
  <si>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</si>
  <si>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</si>
  <si>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</si>
  <si>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</si>
  <si>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</si>
  <si>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</si>
  <si>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</si>
  <si>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</si>
  <si>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</si>
  <si>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</si>
  <si>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</si>
  <si>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</si>
  <si>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</si>
  <si>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</si>
  <si>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</si>
  <si>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</si>
  <si>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</si>
  <si>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</si>
  <si>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</si>
  <si>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</si>
  <si>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</si>
  <si>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</si>
  <si>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</si>
  <si>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</si>
  <si>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</si>
  <si>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</si>
  <si>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</si>
  <si>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</si>
  <si>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</si>
  <si>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</si>
  <si>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</si>
  <si>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</si>
  <si>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</si>
  <si>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</si>
  <si>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</si>
  <si>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</si>
  <si>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</si>
  <si>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</si>
  <si>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</si>
  <si>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</si>
  <si>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</si>
  <si>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</si>
  <si>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</si>
  <si>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</si>
  <si>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</si>
  <si>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</si>
  <si>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</si>
  <si>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</si>
  <si>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</si>
  <si>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</si>
  <si>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</si>
  <si>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</si>
  <si>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</si>
  <si>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</si>
  <si>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</si>
  <si>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</si>
  <si>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</si>
  <si>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</si>
  <si>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</si>
  <si>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</si>
  <si>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</si>
  <si>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</si>
  <si>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</si>
  <si>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</si>
  <si>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</si>
  <si>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</si>
  <si>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</si>
  <si>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</si>
  <si>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</si>
  <si>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</si>
  <si>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</si>
  <si>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</si>
  <si>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</si>
  <si>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</si>
  <si>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</si>
  <si>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</si>
  <si>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</si>
  <si>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</si>
  <si>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</si>
  <si>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</si>
  <si>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</si>
  <si>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</si>
  <si>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</si>
  <si>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</si>
  <si>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</si>
  <si>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</si>
  <si>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</si>
  <si>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</si>
  <si>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</si>
  <si>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</si>
  <si>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</si>
  <si>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</si>
  <si>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</si>
  <si>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</si>
  <si>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</si>
  <si>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</si>
  <si>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</si>
  <si>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</si>
  <si>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</si>
  <si>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</si>
  <si>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</si>
  <si>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</si>
  <si>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</si>
  <si>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</si>
  <si>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</si>
  <si>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</si>
  <si>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</si>
  <si>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</si>
  <si>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</si>
  <si>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</si>
  <si>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</si>
  <si>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</si>
  <si>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</si>
  <si>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</si>
  <si>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</si>
  <si>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</si>
  <si>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</si>
  <si>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</si>
  <si>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</si>
  <si>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</si>
  <si>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</si>
  <si>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</si>
  <si>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</si>
  <si>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</si>
  <si>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</si>
  <si>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</si>
  <si>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</si>
  <si>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</si>
  <si>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</si>
  <si>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</si>
  <si>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</si>
  <si>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</si>
  <si>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</si>
  <si>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</si>
  <si>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</si>
  <si>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</si>
  <si>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</si>
  <si>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</si>
  <si>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</si>
  <si>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</si>
  <si>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</si>
  <si>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</si>
  <si>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</si>
  <si>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</si>
  <si>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</si>
  <si>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</si>
  <si>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</si>
  <si>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</si>
  <si>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Adiantamento de propriedade para investimento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</si>
  <si>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</si>
  <si>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</si>
  <si>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</si>
  <si>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</si>
  <si>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</si>
  <si>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</si>
  <si>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</si>
  <si>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</si>
  <si>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</si>
  <si>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</si>
  <si>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</si>
  <si>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</si>
  <si>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</si>
  <si>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</si>
  <si>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</si>
  <si>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</si>
  <si>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</si>
  <si>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</si>
  <si>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</si>
  <si>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</si>
  <si>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</si>
  <si>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</si>
  <si>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</si>
  <si>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</si>
  <si>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</si>
  <si>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</si>
  <si>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</si>
  <si>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Instrumentos financeiros - put option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</si>
  <si>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</si>
  <si>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</si>
  <si>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</si>
  <si>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</si>
  <si>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</si>
  <si>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</si>
  <si>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</si>
  <si>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</si>
  <si>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</si>
  <si>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</si>
  <si>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</si>
  <si>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</si>
  <si>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</si>
  <si>
    <r>
      <t xml:space="preserve">Instrumentos financeiros - </t>
    </r>
    <r>
      <rPr>
        <i/>
        <sz val="11"/>
        <color theme="2" tint="-0.499984740745262"/>
        <rFont val="Votorantim Sans"/>
      </rPr>
      <t>offtake agreement</t>
    </r>
  </si>
  <si>
    <t>1T22</t>
  </si>
  <si>
    <t>2022</t>
  </si>
  <si>
    <t xml:space="preserve">   Instrumentos financeiros  - Offtake agreement</t>
  </si>
  <si>
    <t xml:space="preserve">   Risco sacado</t>
  </si>
  <si>
    <t xml:space="preserve">   Ágio pago na aquisição de 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</si>
</sst>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 applyBorder="1"/>
    <xf numFmtId="165" fontId="4" fillId="0" borderId="0" xfId="0" applyNumberFormat="1" applyFont="1" applyBorder="1"/>
    <xf numFmtId="165" fontId="0" fillId="0" borderId="0" xfId="0" applyNumberFormat="1" applyBorder="1"/>
    <xf numFmtId="165" fontId="4" fillId="4" borderId="0" xfId="0" applyNumberFormat="1" applyFont="1" applyFill="1"/>
    <xf numFmtId="165" fontId="10" fillId="3" borderId="0" xfId="0" applyNumberFormat="1" applyFont="1" applyFill="1"/>
    <xf numFmtId="165" fontId="3" fillId="0" borderId="0" xfId="0" applyNumberFormat="1" applyFont="1" applyBorder="1"/>
    <xf numFmtId="165" fontId="5" fillId="0" borderId="0" xfId="0" applyNumberFormat="1" applyFont="1" applyBorder="1"/>
    <xf numFmtId="165" fontId="4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Font="1"/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4" fillId="3" borderId="1" xfId="0" applyNumberFormat="1" applyFont="1" applyFill="1" applyBorder="1" applyAlignment="1">
      <alignment horizontal="right" vertical="center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left" indent="1"/>
    </xf>
    <xf numFmtId="165" fontId="4" fillId="0" borderId="0" xfId="0" applyNumberFormat="1" applyFont="1" applyBorder="1" applyAlignment="1">
      <alignment horizontal="left" indent="1"/>
    </xf>
    <xf numFmtId="14" fontId="1" fillId="2" borderId="0" xfId="0" quotePrefix="1" applyNumberFormat="1" applyFont="1" applyFill="1" applyAlignment="1">
      <alignment horizontal="center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14" fontId="1" fillId="2" borderId="0" xfId="0" quotePrefix="1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104533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73524" y="2572470"/>
          <a:ext cx="4408099" cy="151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1T22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/>
  </sheetViews>
  <sheetFormatPr defaultColWidth="0" defaultRowHeight="14.3" zeroHeight="1" x14ac:dyDescent="0.25"/>
  <cols>
    <col min="1" max="10" width="9.125" customWidth="1"/>
    <col min="11" max="12" width="0" hidden="1" customWidth="1"/>
    <col min="13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7.5" customHeight="1" x14ac:dyDescent="0.25">
      <c r="A39" s="144" t="s">
        <v>152</v>
      </c>
      <c r="B39" s="144"/>
      <c r="C39" s="144"/>
      <c r="D39" s="144"/>
      <c r="E39" s="144"/>
      <c r="F39" s="144"/>
      <c r="G39" s="144"/>
      <c r="H39" s="144"/>
      <c r="I39" s="144"/>
      <c r="J39" s="144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A122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61.375" bestFit="1" customWidth="1"/>
    <col min="3" max="13" width="18" customWidth="1"/>
    <col min="14" max="14" width="18" style="52" customWidth="1"/>
    <col min="15" max="27" width="18" customWidth="1"/>
  </cols>
  <sheetData>
    <row r="4" spans="2:27" ht="14.95" customHeight="1" x14ac:dyDescent="0.25">
      <c r="B4" s="3"/>
      <c r="C4" s="146" t="s">
        <v>47</v>
      </c>
      <c r="D4" s="146"/>
      <c r="E4" s="146"/>
      <c r="F4" s="146"/>
      <c r="G4" s="146" t="s">
        <v>52</v>
      </c>
      <c r="H4" s="146"/>
      <c r="I4" s="146"/>
      <c r="J4" s="146"/>
      <c r="K4" s="147" t="s">
        <v>54</v>
      </c>
      <c r="L4" s="147"/>
      <c r="M4" s="147"/>
      <c r="N4" s="147"/>
      <c r="O4" s="145">
        <v>2019</v>
      </c>
      <c r="P4" s="145"/>
      <c r="Q4" s="145"/>
      <c r="R4" s="145"/>
      <c r="S4" s="145">
        <v>2020</v>
      </c>
      <c r="T4" s="145"/>
      <c r="U4" s="145"/>
      <c r="V4" s="145"/>
      <c r="W4" s="145">
        <v>2021</v>
      </c>
      <c r="X4" s="145"/>
      <c r="Y4" s="145"/>
      <c r="Z4" s="145"/>
      <c r="AA4" s="145">
        <v>2022</v>
      </c>
    </row>
    <row r="5" spans="2:27" ht="15.65" x14ac:dyDescent="0.25">
      <c r="B5" s="4" t="s">
        <v>153</v>
      </c>
      <c r="C5" s="146"/>
      <c r="D5" s="146"/>
      <c r="E5" s="146"/>
      <c r="F5" s="146"/>
      <c r="G5" s="146"/>
      <c r="H5" s="146"/>
      <c r="I5" s="146"/>
      <c r="J5" s="146"/>
      <c r="K5" s="147"/>
      <c r="L5" s="147"/>
      <c r="M5" s="147"/>
      <c r="N5" s="147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2:27" ht="15.65" x14ac:dyDescent="0.25">
      <c r="B6" s="4" t="s">
        <v>82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  <c r="AA6" s="6">
        <v>44651</v>
      </c>
    </row>
    <row r="7" spans="2:27" ht="15.65" x14ac:dyDescent="0.25">
      <c r="B7" s="5" t="s">
        <v>0</v>
      </c>
    </row>
    <row r="8" spans="2:27" x14ac:dyDescent="0.25">
      <c r="B8" s="1" t="s">
        <v>1</v>
      </c>
    </row>
    <row r="9" spans="2:27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51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</row>
    <row r="10" spans="2:27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51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</row>
    <row r="11" spans="2:27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51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106</v>
      </c>
      <c r="AA11" s="7">
        <v>150</v>
      </c>
    </row>
    <row r="12" spans="2:27" x14ac:dyDescent="0.25">
      <c r="B12" s="2" t="s">
        <v>218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4704</v>
      </c>
      <c r="AA12" s="7">
        <v>4704</v>
      </c>
    </row>
    <row r="13" spans="2:27" x14ac:dyDescent="0.25">
      <c r="B13" s="2" t="s">
        <v>5</v>
      </c>
      <c r="C13" s="7">
        <v>2353</v>
      </c>
      <c r="D13" s="7">
        <v>2374</v>
      </c>
      <c r="E13" s="7">
        <v>2488</v>
      </c>
      <c r="F13" s="7">
        <v>2001</v>
      </c>
      <c r="G13" s="7">
        <v>2211</v>
      </c>
      <c r="H13" s="7">
        <v>2507</v>
      </c>
      <c r="I13" s="7">
        <v>2761</v>
      </c>
      <c r="J13" s="7">
        <v>2421</v>
      </c>
      <c r="K13" s="7">
        <v>2895</v>
      </c>
      <c r="L13" s="7">
        <v>3188</v>
      </c>
      <c r="M13" s="7">
        <v>3306</v>
      </c>
      <c r="N13" s="51">
        <v>2546</v>
      </c>
      <c r="O13" s="7">
        <v>2668</v>
      </c>
      <c r="P13" s="7">
        <v>2975</v>
      </c>
      <c r="Q13" s="7">
        <v>2767</v>
      </c>
      <c r="R13" s="7">
        <v>2196</v>
      </c>
      <c r="S13" s="7">
        <v>2661</v>
      </c>
      <c r="T13" s="7">
        <v>3014</v>
      </c>
      <c r="U13" s="7">
        <v>3455</v>
      </c>
      <c r="V13" s="7">
        <v>3209</v>
      </c>
      <c r="W13" s="7">
        <v>3408</v>
      </c>
      <c r="X13" s="7">
        <v>3924</v>
      </c>
      <c r="Y13" s="7">
        <v>4157</v>
      </c>
      <c r="Z13" s="7">
        <v>3679</v>
      </c>
      <c r="AA13" s="7">
        <v>3462</v>
      </c>
    </row>
    <row r="14" spans="2:27" x14ac:dyDescent="0.25">
      <c r="B14" s="2" t="s">
        <v>6</v>
      </c>
      <c r="C14" s="7">
        <v>3996</v>
      </c>
      <c r="D14" s="7">
        <v>3666</v>
      </c>
      <c r="E14" s="7">
        <v>3739</v>
      </c>
      <c r="F14" s="7">
        <v>3381</v>
      </c>
      <c r="G14" s="7">
        <v>3397</v>
      </c>
      <c r="H14" s="7">
        <v>3328</v>
      </c>
      <c r="I14" s="7">
        <v>3270</v>
      </c>
      <c r="J14" s="7">
        <v>3526</v>
      </c>
      <c r="K14" s="7">
        <v>3754</v>
      </c>
      <c r="L14" s="7">
        <v>4046</v>
      </c>
      <c r="M14" s="7">
        <v>4108</v>
      </c>
      <c r="N14" s="51">
        <v>3814</v>
      </c>
      <c r="O14" s="7">
        <v>4015</v>
      </c>
      <c r="P14" s="7">
        <v>4113</v>
      </c>
      <c r="Q14" s="7">
        <v>4129</v>
      </c>
      <c r="R14" s="7">
        <v>4129</v>
      </c>
      <c r="S14" s="7">
        <v>4823</v>
      </c>
      <c r="T14" s="7">
        <v>4729</v>
      </c>
      <c r="U14" s="7">
        <v>4548</v>
      </c>
      <c r="V14" s="7">
        <v>4724</v>
      </c>
      <c r="W14" s="7">
        <v>5699</v>
      </c>
      <c r="X14" s="7">
        <v>6071</v>
      </c>
      <c r="Y14" s="7">
        <v>6801</v>
      </c>
      <c r="Z14" s="7">
        <v>7167</v>
      </c>
      <c r="AA14" s="7">
        <v>7638</v>
      </c>
    </row>
    <row r="15" spans="2:27" x14ac:dyDescent="0.25">
      <c r="B15" s="2" t="s">
        <v>7</v>
      </c>
      <c r="C15" s="7">
        <v>1469</v>
      </c>
      <c r="D15" s="7">
        <v>1430</v>
      </c>
      <c r="E15" s="7">
        <v>1374</v>
      </c>
      <c r="F15" s="7">
        <v>1527</v>
      </c>
      <c r="G15" s="7">
        <v>1275</v>
      </c>
      <c r="H15" s="7">
        <v>1234</v>
      </c>
      <c r="I15" s="7">
        <v>1316</v>
      </c>
      <c r="J15" s="7">
        <v>1317</v>
      </c>
      <c r="K15" s="7">
        <v>1275</v>
      </c>
      <c r="L15" s="7">
        <v>1447</v>
      </c>
      <c r="M15" s="7">
        <v>1618</v>
      </c>
      <c r="N15" s="51">
        <v>1473</v>
      </c>
      <c r="O15" s="7">
        <v>1567</v>
      </c>
      <c r="P15" s="7">
        <v>1803</v>
      </c>
      <c r="Q15" s="7">
        <v>1821</v>
      </c>
      <c r="R15" s="7">
        <v>1968</v>
      </c>
      <c r="S15" s="7">
        <v>2171</v>
      </c>
      <c r="T15" s="7">
        <v>2043</v>
      </c>
      <c r="U15" s="7">
        <v>2154</v>
      </c>
      <c r="V15" s="7">
        <v>2033</v>
      </c>
      <c r="W15" s="7">
        <v>2217</v>
      </c>
      <c r="X15" s="7">
        <v>2107</v>
      </c>
      <c r="Y15" s="7">
        <v>2651</v>
      </c>
      <c r="Z15" s="7">
        <v>2709</v>
      </c>
      <c r="AA15" s="7">
        <v>1829</v>
      </c>
    </row>
    <row r="16" spans="2:27" x14ac:dyDescent="0.25">
      <c r="B16" s="2" t="s">
        <v>8</v>
      </c>
      <c r="C16" s="7">
        <v>123</v>
      </c>
      <c r="D16" s="7">
        <v>9</v>
      </c>
      <c r="E16" s="7">
        <v>4</v>
      </c>
      <c r="F16" s="7">
        <v>180</v>
      </c>
      <c r="G16" s="7">
        <v>179</v>
      </c>
      <c r="H16" s="7">
        <v>26</v>
      </c>
      <c r="I16" s="7">
        <v>17</v>
      </c>
      <c r="J16" s="7">
        <v>148</v>
      </c>
      <c r="K16" s="7">
        <v>137</v>
      </c>
      <c r="L16" s="7">
        <v>1</v>
      </c>
      <c r="M16" s="7">
        <v>1</v>
      </c>
      <c r="N16" s="51">
        <v>14</v>
      </c>
      <c r="O16" s="7">
        <v>14</v>
      </c>
      <c r="P16" s="7">
        <v>200</v>
      </c>
      <c r="Q16" s="7">
        <v>200</v>
      </c>
      <c r="R16" s="7">
        <v>81</v>
      </c>
      <c r="S16" s="7">
        <v>94</v>
      </c>
      <c r="T16" s="7">
        <v>123</v>
      </c>
      <c r="U16" s="7">
        <v>116</v>
      </c>
      <c r="V16" s="7">
        <v>176</v>
      </c>
      <c r="W16" s="7">
        <v>154</v>
      </c>
      <c r="X16" s="7">
        <v>0</v>
      </c>
      <c r="Y16" s="7">
        <v>0</v>
      </c>
      <c r="Z16" s="7">
        <v>305</v>
      </c>
      <c r="AA16" s="7">
        <v>429</v>
      </c>
    </row>
    <row r="17" spans="2:27" x14ac:dyDescent="0.25">
      <c r="B17" s="2" t="s">
        <v>185</v>
      </c>
      <c r="C17" s="7">
        <v>313</v>
      </c>
      <c r="D17" s="7">
        <v>305</v>
      </c>
      <c r="E17" s="7">
        <v>312</v>
      </c>
      <c r="F17" s="7">
        <v>317</v>
      </c>
      <c r="G17" s="7">
        <v>251</v>
      </c>
      <c r="H17" s="7">
        <v>237</v>
      </c>
      <c r="I17" s="7">
        <v>260</v>
      </c>
      <c r="J17" s="7">
        <v>210</v>
      </c>
      <c r="K17" s="7">
        <v>158</v>
      </c>
      <c r="L17" s="7">
        <v>159</v>
      </c>
      <c r="M17" s="7">
        <v>184</v>
      </c>
      <c r="N17" s="51">
        <v>202</v>
      </c>
      <c r="O17" s="7">
        <v>102</v>
      </c>
      <c r="P17" s="7">
        <v>46</v>
      </c>
      <c r="Q17" s="7">
        <v>15</v>
      </c>
      <c r="R17" s="7">
        <v>0</v>
      </c>
      <c r="S17" s="7">
        <v>2</v>
      </c>
      <c r="T17" s="7">
        <v>31</v>
      </c>
      <c r="U17" s="7">
        <v>61</v>
      </c>
      <c r="V17" s="7">
        <v>49</v>
      </c>
      <c r="W17" s="7">
        <v>23</v>
      </c>
      <c r="X17" s="7">
        <v>0</v>
      </c>
      <c r="Y17" s="7">
        <v>50</v>
      </c>
      <c r="Z17" s="7">
        <v>845</v>
      </c>
      <c r="AA17" s="7">
        <v>0</v>
      </c>
    </row>
    <row r="18" spans="2:27" x14ac:dyDescent="0.25">
      <c r="B18" s="2" t="s">
        <v>9</v>
      </c>
      <c r="C18" s="8">
        <v>727</v>
      </c>
      <c r="D18" s="8">
        <v>551</v>
      </c>
      <c r="E18" s="8">
        <v>489</v>
      </c>
      <c r="F18" s="8">
        <v>580</v>
      </c>
      <c r="G18" s="8">
        <v>552</v>
      </c>
      <c r="H18" s="8">
        <v>507</v>
      </c>
      <c r="I18" s="8">
        <v>494</v>
      </c>
      <c r="J18" s="8">
        <v>784</v>
      </c>
      <c r="K18" s="8">
        <v>745</v>
      </c>
      <c r="L18" s="8">
        <v>534</v>
      </c>
      <c r="M18" s="8">
        <v>667</v>
      </c>
      <c r="N18" s="62">
        <v>564</v>
      </c>
      <c r="O18" s="8">
        <v>512</v>
      </c>
      <c r="P18" s="8">
        <v>605</v>
      </c>
      <c r="Q18" s="8">
        <v>638</v>
      </c>
      <c r="R18" s="8">
        <v>621</v>
      </c>
      <c r="S18" s="8">
        <v>542</v>
      </c>
      <c r="T18" s="8">
        <v>531</v>
      </c>
      <c r="U18" s="8">
        <v>584</v>
      </c>
      <c r="V18" s="8">
        <v>538</v>
      </c>
      <c r="W18" s="8">
        <v>555</v>
      </c>
      <c r="X18" s="8">
        <v>595</v>
      </c>
      <c r="Y18" s="8">
        <v>930</v>
      </c>
      <c r="Z18" s="8">
        <v>944</v>
      </c>
      <c r="AA18" s="8">
        <v>522</v>
      </c>
    </row>
    <row r="19" spans="2:27" x14ac:dyDescent="0.25">
      <c r="B19" s="2"/>
      <c r="C19" s="9">
        <f t="shared" ref="C19:Z19" si="0">SUM(C9:C18)</f>
        <v>17971</v>
      </c>
      <c r="D19" s="9">
        <f t="shared" si="0"/>
        <v>16852</v>
      </c>
      <c r="E19" s="9">
        <f t="shared" si="0"/>
        <v>17338</v>
      </c>
      <c r="F19" s="9">
        <f t="shared" si="0"/>
        <v>18258</v>
      </c>
      <c r="G19" s="9">
        <f t="shared" si="0"/>
        <v>17101</v>
      </c>
      <c r="H19" s="9">
        <f t="shared" si="0"/>
        <v>18309</v>
      </c>
      <c r="I19" s="9">
        <f t="shared" si="0"/>
        <v>17855</v>
      </c>
      <c r="J19" s="9">
        <f t="shared" si="0"/>
        <v>20980</v>
      </c>
      <c r="K19" s="9">
        <f t="shared" si="0"/>
        <v>18838</v>
      </c>
      <c r="L19" s="9">
        <f t="shared" si="0"/>
        <v>19383</v>
      </c>
      <c r="M19" s="9">
        <f t="shared" si="0"/>
        <v>20055</v>
      </c>
      <c r="N19" s="55">
        <f t="shared" si="0"/>
        <v>19886</v>
      </c>
      <c r="O19" s="9">
        <f t="shared" si="0"/>
        <v>19844</v>
      </c>
      <c r="P19" s="9">
        <f t="shared" si="0"/>
        <v>19711</v>
      </c>
      <c r="Q19" s="9">
        <f t="shared" si="0"/>
        <v>19662</v>
      </c>
      <c r="R19" s="9">
        <f t="shared" si="0"/>
        <v>19763</v>
      </c>
      <c r="S19" s="9">
        <f t="shared" si="0"/>
        <v>22327</v>
      </c>
      <c r="T19" s="9">
        <f t="shared" si="0"/>
        <v>24796</v>
      </c>
      <c r="U19" s="9">
        <f t="shared" si="0"/>
        <v>26137</v>
      </c>
      <c r="V19" s="9">
        <f t="shared" si="0"/>
        <v>26411</v>
      </c>
      <c r="W19" s="9">
        <f t="shared" si="0"/>
        <v>28835</v>
      </c>
      <c r="X19" s="9">
        <f t="shared" si="0"/>
        <v>28755</v>
      </c>
      <c r="Y19" s="9">
        <f t="shared" si="0"/>
        <v>32287</v>
      </c>
      <c r="Z19" s="9">
        <f t="shared" si="0"/>
        <v>37271</v>
      </c>
      <c r="AA19" s="9">
        <f t="shared" ref="AA19" si="1">SUM(AA9:AA18)</f>
        <v>31463</v>
      </c>
    </row>
    <row r="20" spans="2:27" x14ac:dyDescent="0.25">
      <c r="B20" s="2" t="s">
        <v>10</v>
      </c>
      <c r="C20" s="8">
        <v>34</v>
      </c>
      <c r="D20" s="8">
        <v>35</v>
      </c>
      <c r="E20" s="8">
        <v>46</v>
      </c>
      <c r="F20" s="7">
        <v>2125</v>
      </c>
      <c r="G20" s="7">
        <v>2125</v>
      </c>
      <c r="H20" s="7">
        <v>2125</v>
      </c>
      <c r="I20" s="7">
        <v>2984</v>
      </c>
      <c r="J20" s="7">
        <v>2199</v>
      </c>
      <c r="K20" s="7">
        <v>6499</v>
      </c>
      <c r="L20" s="7">
        <v>4245</v>
      </c>
      <c r="M20" s="7">
        <v>4358</v>
      </c>
      <c r="N20" s="51">
        <v>4527</v>
      </c>
      <c r="O20" s="7">
        <v>232</v>
      </c>
      <c r="P20" s="7">
        <v>0</v>
      </c>
      <c r="Q20" s="7">
        <v>0</v>
      </c>
      <c r="R20" s="7">
        <v>0</v>
      </c>
      <c r="S20" s="7">
        <v>0</v>
      </c>
      <c r="T20" s="7">
        <v>9</v>
      </c>
      <c r="U20" s="7">
        <v>17</v>
      </c>
      <c r="V20" s="7">
        <v>25</v>
      </c>
      <c r="W20" s="7">
        <v>3</v>
      </c>
      <c r="X20" s="7">
        <v>3</v>
      </c>
      <c r="Y20" s="7">
        <v>39</v>
      </c>
      <c r="Z20" s="7">
        <v>1281</v>
      </c>
      <c r="AA20" s="7">
        <v>30</v>
      </c>
    </row>
    <row r="21" spans="2:27" s="16" customFormat="1" x14ac:dyDescent="0.25">
      <c r="B21" s="1"/>
      <c r="C21" s="14">
        <f t="shared" ref="C21:O21" si="2">SUM(C19:C20)</f>
        <v>18005</v>
      </c>
      <c r="D21" s="14">
        <f t="shared" si="2"/>
        <v>16887</v>
      </c>
      <c r="E21" s="14">
        <f t="shared" si="2"/>
        <v>17384</v>
      </c>
      <c r="F21" s="14">
        <f t="shared" si="2"/>
        <v>20383</v>
      </c>
      <c r="G21" s="14">
        <f t="shared" si="2"/>
        <v>19226</v>
      </c>
      <c r="H21" s="14">
        <f t="shared" si="2"/>
        <v>20434</v>
      </c>
      <c r="I21" s="14">
        <f t="shared" si="2"/>
        <v>20839</v>
      </c>
      <c r="J21" s="14">
        <f t="shared" si="2"/>
        <v>23179</v>
      </c>
      <c r="K21" s="14">
        <f t="shared" si="2"/>
        <v>25337</v>
      </c>
      <c r="L21" s="14">
        <f t="shared" si="2"/>
        <v>23628</v>
      </c>
      <c r="M21" s="14">
        <f t="shared" si="2"/>
        <v>24413</v>
      </c>
      <c r="N21" s="56">
        <f t="shared" si="2"/>
        <v>24413</v>
      </c>
      <c r="O21" s="14">
        <f t="shared" si="2"/>
        <v>20076</v>
      </c>
      <c r="P21" s="14">
        <f t="shared" ref="P21:Q21" si="3">SUM(P19:P20)</f>
        <v>19711</v>
      </c>
      <c r="Q21" s="14">
        <f t="shared" si="3"/>
        <v>19662</v>
      </c>
      <c r="R21" s="14">
        <f t="shared" ref="R21:S21" si="4">SUM(R19:R20)</f>
        <v>19763</v>
      </c>
      <c r="S21" s="14">
        <f t="shared" si="4"/>
        <v>22327</v>
      </c>
      <c r="T21" s="14">
        <f t="shared" ref="T21:U21" si="5">SUM(T19:T20)</f>
        <v>24805</v>
      </c>
      <c r="U21" s="14">
        <f t="shared" si="5"/>
        <v>26154</v>
      </c>
      <c r="V21" s="14">
        <f t="shared" ref="V21:W21" si="6">SUM(V19:V20)</f>
        <v>26436</v>
      </c>
      <c r="W21" s="14">
        <f t="shared" si="6"/>
        <v>28838</v>
      </c>
      <c r="X21" s="14">
        <f t="shared" ref="X21:Y21" si="7">SUM(X19:X20)</f>
        <v>28758</v>
      </c>
      <c r="Y21" s="14">
        <f t="shared" si="7"/>
        <v>32326</v>
      </c>
      <c r="Z21" s="14">
        <f t="shared" ref="Z21:AA21" si="8">SUM(Z19:Z20)</f>
        <v>38552</v>
      </c>
      <c r="AA21" s="14">
        <f t="shared" si="8"/>
        <v>31493</v>
      </c>
    </row>
    <row r="22" spans="2:27" x14ac:dyDescent="0.25">
      <c r="B22" s="1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x14ac:dyDescent="0.25">
      <c r="B23" s="2" t="s">
        <v>12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5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2:27" x14ac:dyDescent="0.25">
      <c r="B24" s="2" t="s">
        <v>3</v>
      </c>
      <c r="C24" s="7">
        <v>37</v>
      </c>
      <c r="D24" s="7">
        <v>38</v>
      </c>
      <c r="E24" s="7">
        <v>38</v>
      </c>
      <c r="F24" s="7">
        <v>39</v>
      </c>
      <c r="G24" s="7">
        <v>40</v>
      </c>
      <c r="H24" s="7">
        <v>40</v>
      </c>
      <c r="I24" s="7">
        <v>18</v>
      </c>
      <c r="J24" s="7">
        <v>25</v>
      </c>
      <c r="K24" s="7">
        <v>19</v>
      </c>
      <c r="L24" s="7">
        <v>22</v>
      </c>
      <c r="M24" s="7">
        <v>22</v>
      </c>
      <c r="N24" s="51">
        <v>23</v>
      </c>
      <c r="O24" s="7">
        <v>23</v>
      </c>
      <c r="P24" s="7">
        <v>23</v>
      </c>
      <c r="Q24" s="7">
        <v>23</v>
      </c>
      <c r="R24" s="7">
        <v>23</v>
      </c>
      <c r="S24" s="7">
        <v>20</v>
      </c>
      <c r="T24" s="7">
        <v>20</v>
      </c>
      <c r="U24" s="7">
        <v>20</v>
      </c>
      <c r="V24" s="7">
        <v>20</v>
      </c>
      <c r="W24" s="7">
        <v>20</v>
      </c>
      <c r="X24" s="7">
        <v>10</v>
      </c>
      <c r="Y24" s="7">
        <v>750</v>
      </c>
      <c r="Z24" s="7">
        <v>0</v>
      </c>
      <c r="AA24" s="7">
        <v>0</v>
      </c>
    </row>
    <row r="25" spans="2:27" x14ac:dyDescent="0.25">
      <c r="B25" s="2" t="s">
        <v>81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29</v>
      </c>
      <c r="L25" s="7">
        <v>0</v>
      </c>
      <c r="M25" s="7">
        <v>0</v>
      </c>
      <c r="N25" s="51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2:27" x14ac:dyDescent="0.25">
      <c r="B26" s="50" t="s">
        <v>166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51">
        <v>0</v>
      </c>
      <c r="O26" s="7">
        <v>3500</v>
      </c>
      <c r="P26" s="7">
        <v>2470</v>
      </c>
      <c r="Q26" s="7">
        <v>2530</v>
      </c>
      <c r="R26" s="7">
        <v>2749</v>
      </c>
      <c r="S26" s="7">
        <v>2912</v>
      </c>
      <c r="T26" s="7">
        <v>2965</v>
      </c>
      <c r="U26" s="7">
        <v>3375</v>
      </c>
      <c r="V26" s="7">
        <v>2590</v>
      </c>
      <c r="W26" s="7">
        <v>1774</v>
      </c>
      <c r="X26" s="7">
        <v>1658</v>
      </c>
      <c r="Y26" s="7">
        <v>1470</v>
      </c>
      <c r="Z26" s="7">
        <v>2801</v>
      </c>
      <c r="AA26" s="7">
        <v>2941</v>
      </c>
    </row>
    <row r="27" spans="2:27" x14ac:dyDescent="0.25">
      <c r="B27" s="2" t="s">
        <v>4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51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  <c r="AA27" s="7">
        <v>692</v>
      </c>
    </row>
    <row r="28" spans="2:27" x14ac:dyDescent="0.25">
      <c r="B28" s="2" t="s">
        <v>202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51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  <c r="AA28" s="7">
        <v>0</v>
      </c>
    </row>
    <row r="29" spans="2:27" x14ac:dyDescent="0.25">
      <c r="B29" s="2" t="s">
        <v>7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51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  <c r="AA29" s="7">
        <v>2141</v>
      </c>
    </row>
    <row r="30" spans="2:27" x14ac:dyDescent="0.25">
      <c r="B30" s="2" t="s">
        <v>13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51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  <c r="AA30" s="7">
        <v>241</v>
      </c>
    </row>
    <row r="31" spans="2:27" x14ac:dyDescent="0.25">
      <c r="B31" s="2" t="s">
        <v>14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51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  <c r="AA31" s="7">
        <v>2661</v>
      </c>
    </row>
    <row r="32" spans="2:27" x14ac:dyDescent="0.25">
      <c r="B32" s="2" t="s">
        <v>15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51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  <c r="AA32" s="7">
        <v>219</v>
      </c>
    </row>
    <row r="33" spans="2:27" x14ac:dyDescent="0.25">
      <c r="B33" s="2" t="s">
        <v>185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51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  <c r="AA33" s="7">
        <v>0</v>
      </c>
    </row>
    <row r="34" spans="2:27" x14ac:dyDescent="0.25">
      <c r="B34" s="2" t="s">
        <v>169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>
        <v>0</v>
      </c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  <c r="AA34" s="7">
        <v>287</v>
      </c>
    </row>
    <row r="35" spans="2:27" x14ac:dyDescent="0.25">
      <c r="B35" s="2" t="s">
        <v>9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62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  <c r="AA35" s="8">
        <v>580</v>
      </c>
    </row>
    <row r="36" spans="2:27" s="16" customFormat="1" x14ac:dyDescent="0.25">
      <c r="B36" s="1"/>
      <c r="C36" s="13">
        <f t="shared" ref="C36:O36" si="9">SUM(C24:C35)</f>
        <v>8469</v>
      </c>
      <c r="D36" s="13">
        <f t="shared" si="9"/>
        <v>8258</v>
      </c>
      <c r="E36" s="13">
        <f t="shared" si="9"/>
        <v>8311</v>
      </c>
      <c r="F36" s="13">
        <f t="shared" si="9"/>
        <v>8096</v>
      </c>
      <c r="G36" s="13">
        <f t="shared" si="9"/>
        <v>7682</v>
      </c>
      <c r="H36" s="13">
        <f t="shared" si="9"/>
        <v>8259</v>
      </c>
      <c r="I36" s="13">
        <f t="shared" si="9"/>
        <v>7721</v>
      </c>
      <c r="J36" s="13">
        <f t="shared" si="9"/>
        <v>7755</v>
      </c>
      <c r="K36" s="13">
        <f t="shared" si="9"/>
        <v>7900</v>
      </c>
      <c r="L36" s="13">
        <f t="shared" si="9"/>
        <v>9386</v>
      </c>
      <c r="M36" s="13">
        <f t="shared" si="9"/>
        <v>9566</v>
      </c>
      <c r="N36" s="59">
        <f t="shared" si="9"/>
        <v>9544</v>
      </c>
      <c r="O36" s="13">
        <f t="shared" si="9"/>
        <v>12107</v>
      </c>
      <c r="P36" s="13">
        <f t="shared" ref="P36:Q36" si="10">SUM(P24:P35)</f>
        <v>11455</v>
      </c>
      <c r="Q36" s="13">
        <f t="shared" si="10"/>
        <v>11921</v>
      </c>
      <c r="R36" s="13">
        <f t="shared" ref="R36:S36" si="11">SUM(R24:R35)</f>
        <v>11911</v>
      </c>
      <c r="S36" s="13">
        <f t="shared" si="11"/>
        <v>13934</v>
      </c>
      <c r="T36" s="13">
        <f t="shared" ref="T36:U36" si="12">SUM(T24:T35)</f>
        <v>14215</v>
      </c>
      <c r="U36" s="13">
        <f t="shared" si="12"/>
        <v>14073</v>
      </c>
      <c r="V36" s="13">
        <f t="shared" ref="V36:W36" si="13">SUM(V24:V35)</f>
        <v>11752</v>
      </c>
      <c r="W36" s="13">
        <f t="shared" si="13"/>
        <v>10424</v>
      </c>
      <c r="X36" s="13">
        <f t="shared" ref="X36:Y36" si="14">SUM(X24:X35)</f>
        <v>10641</v>
      </c>
      <c r="Y36" s="13">
        <f t="shared" si="14"/>
        <v>10815</v>
      </c>
      <c r="Z36" s="13">
        <f t="shared" ref="Z36:AA36" si="15">SUM(Z24:Z35)</f>
        <v>12694</v>
      </c>
      <c r="AA36" s="13">
        <f t="shared" si="15"/>
        <v>9762</v>
      </c>
    </row>
    <row r="37" spans="2:27" x14ac:dyDescent="0.25"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55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2:27" x14ac:dyDescent="0.25">
      <c r="B38" s="2" t="s">
        <v>16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51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  <c r="AA38" s="7">
        <v>15597</v>
      </c>
    </row>
    <row r="39" spans="2:27" x14ac:dyDescent="0.25">
      <c r="B39" s="2" t="s">
        <v>190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  <c r="AA39" s="7">
        <v>58</v>
      </c>
    </row>
    <row r="40" spans="2:27" x14ac:dyDescent="0.25">
      <c r="B40" s="2" t="s">
        <v>17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51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  <c r="AA40" s="7">
        <v>32788</v>
      </c>
    </row>
    <row r="41" spans="2:27" x14ac:dyDescent="0.25">
      <c r="B41" s="2" t="s">
        <v>18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51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  <c r="AA41" s="7">
        <v>14162</v>
      </c>
    </row>
    <row r="42" spans="2:27" x14ac:dyDescent="0.25">
      <c r="B42" s="50" t="s">
        <v>203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51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  <c r="AA42" s="7">
        <v>1231</v>
      </c>
    </row>
    <row r="43" spans="2:27" x14ac:dyDescent="0.25">
      <c r="B43" s="2" t="s">
        <v>19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62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  <c r="AA43" s="8">
        <v>84</v>
      </c>
    </row>
    <row r="44" spans="2:27" s="16" customFormat="1" x14ac:dyDescent="0.25">
      <c r="B44" s="1"/>
      <c r="C44" s="14">
        <f t="shared" ref="C44:O44" si="16">SUM(C36:C43)</f>
        <v>64862</v>
      </c>
      <c r="D44" s="14">
        <f t="shared" si="16"/>
        <v>62268</v>
      </c>
      <c r="E44" s="14">
        <f t="shared" si="16"/>
        <v>62774</v>
      </c>
      <c r="F44" s="14">
        <f t="shared" si="16"/>
        <v>59215</v>
      </c>
      <c r="G44" s="14">
        <f t="shared" si="16"/>
        <v>58287</v>
      </c>
      <c r="H44" s="14">
        <f t="shared" si="16"/>
        <v>60254</v>
      </c>
      <c r="I44" s="14">
        <f t="shared" si="16"/>
        <v>58592</v>
      </c>
      <c r="J44" s="14">
        <f t="shared" si="16"/>
        <v>59490</v>
      </c>
      <c r="K44" s="14">
        <f t="shared" si="16"/>
        <v>55230</v>
      </c>
      <c r="L44" s="14">
        <f t="shared" si="16"/>
        <v>58950</v>
      </c>
      <c r="M44" s="14">
        <f t="shared" si="16"/>
        <v>59708</v>
      </c>
      <c r="N44" s="56">
        <f t="shared" si="16"/>
        <v>60633</v>
      </c>
      <c r="O44" s="14">
        <f t="shared" si="16"/>
        <v>63441</v>
      </c>
      <c r="P44" s="14">
        <f t="shared" ref="P44:Q44" si="17">SUM(P36:P43)</f>
        <v>62441</v>
      </c>
      <c r="Q44" s="14">
        <f t="shared" si="17"/>
        <v>64275</v>
      </c>
      <c r="R44" s="14">
        <f t="shared" ref="R44:S44" si="18">SUM(R36:R43)</f>
        <v>64960</v>
      </c>
      <c r="S44" s="14">
        <f t="shared" si="18"/>
        <v>71194</v>
      </c>
      <c r="T44" s="14">
        <f t="shared" ref="T44:U44" si="19">SUM(T36:T43)</f>
        <v>72696</v>
      </c>
      <c r="U44" s="14">
        <f t="shared" si="19"/>
        <v>73455</v>
      </c>
      <c r="V44" s="14">
        <f t="shared" ref="V44:W44" si="20">SUM(V36:V43)</f>
        <v>70042</v>
      </c>
      <c r="W44" s="14">
        <f t="shared" si="20"/>
        <v>71369</v>
      </c>
      <c r="X44" s="14">
        <f t="shared" ref="X44:Y44" si="21">SUM(X36:X43)</f>
        <v>71316</v>
      </c>
      <c r="Y44" s="14">
        <f t="shared" si="21"/>
        <v>76168</v>
      </c>
      <c r="Z44" s="14">
        <f t="shared" ref="Z44:AA44" si="22">SUM(Z36:Z43)</f>
        <v>79806</v>
      </c>
      <c r="AA44" s="14">
        <f t="shared" si="22"/>
        <v>73682</v>
      </c>
    </row>
    <row r="45" spans="2:27" x14ac:dyDescent="0.2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7" s="16" customFormat="1" ht="14.95" thickBot="1" x14ac:dyDescent="0.3">
      <c r="B46" s="1" t="s">
        <v>20</v>
      </c>
      <c r="C46" s="15">
        <f t="shared" ref="C46:O46" si="23">C21+C44</f>
        <v>82867</v>
      </c>
      <c r="D46" s="15">
        <f t="shared" si="23"/>
        <v>79155</v>
      </c>
      <c r="E46" s="15">
        <f t="shared" si="23"/>
        <v>80158</v>
      </c>
      <c r="F46" s="15">
        <f t="shared" si="23"/>
        <v>79598</v>
      </c>
      <c r="G46" s="15">
        <f t="shared" si="23"/>
        <v>77513</v>
      </c>
      <c r="H46" s="15">
        <f t="shared" si="23"/>
        <v>80688</v>
      </c>
      <c r="I46" s="15">
        <f t="shared" si="23"/>
        <v>79431</v>
      </c>
      <c r="J46" s="15">
        <f t="shared" si="23"/>
        <v>82669</v>
      </c>
      <c r="K46" s="15">
        <f t="shared" si="23"/>
        <v>80567</v>
      </c>
      <c r="L46" s="15">
        <f t="shared" si="23"/>
        <v>82578</v>
      </c>
      <c r="M46" s="15">
        <f t="shared" si="23"/>
        <v>84121</v>
      </c>
      <c r="N46" s="58">
        <f t="shared" si="23"/>
        <v>85046</v>
      </c>
      <c r="O46" s="15">
        <f t="shared" si="23"/>
        <v>83517</v>
      </c>
      <c r="P46" s="15">
        <f t="shared" ref="P46:Q46" si="24">P21+P44</f>
        <v>82152</v>
      </c>
      <c r="Q46" s="15">
        <f t="shared" si="24"/>
        <v>83937</v>
      </c>
      <c r="R46" s="15">
        <f t="shared" ref="R46:S46" si="25">R21+R44</f>
        <v>84723</v>
      </c>
      <c r="S46" s="15">
        <f t="shared" si="25"/>
        <v>93521</v>
      </c>
      <c r="T46" s="15">
        <f t="shared" ref="T46:U46" si="26">T21+T44</f>
        <v>97501</v>
      </c>
      <c r="U46" s="15">
        <f t="shared" si="26"/>
        <v>99609</v>
      </c>
      <c r="V46" s="15">
        <f t="shared" ref="V46:W46" si="27">V21+V44</f>
        <v>96478</v>
      </c>
      <c r="W46" s="15">
        <f t="shared" si="27"/>
        <v>100207</v>
      </c>
      <c r="X46" s="15">
        <f t="shared" ref="X46:Y46" si="28">X21+X44</f>
        <v>100074</v>
      </c>
      <c r="Y46" s="15">
        <f t="shared" si="28"/>
        <v>108494</v>
      </c>
      <c r="Z46" s="15">
        <f t="shared" ref="Z46:AA46" si="29">Z21+Z44</f>
        <v>118358</v>
      </c>
      <c r="AA46" s="15">
        <f t="shared" si="29"/>
        <v>105175</v>
      </c>
    </row>
    <row r="47" spans="2:27" ht="14.95" thickTop="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2:27" ht="15.65" x14ac:dyDescent="0.25">
      <c r="B48" s="5" t="s">
        <v>21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2:27" x14ac:dyDescent="0.25">
      <c r="B49" s="1" t="s">
        <v>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2:27" x14ac:dyDescent="0.25">
      <c r="B50" s="2" t="s">
        <v>22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51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  <c r="AA50" s="7">
        <v>591</v>
      </c>
    </row>
    <row r="51" spans="2:27" x14ac:dyDescent="0.25">
      <c r="B51" s="2" t="s">
        <v>4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51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51">
        <v>511</v>
      </c>
      <c r="W51" s="7">
        <v>662</v>
      </c>
      <c r="X51" s="7">
        <v>636</v>
      </c>
      <c r="Y51" s="7">
        <v>740</v>
      </c>
      <c r="Z51" s="7">
        <v>556</v>
      </c>
      <c r="AA51" s="7">
        <v>424</v>
      </c>
    </row>
    <row r="52" spans="2:27" x14ac:dyDescent="0.25">
      <c r="B52" s="2" t="s">
        <v>232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17</v>
      </c>
    </row>
    <row r="53" spans="2:27" x14ac:dyDescent="0.25">
      <c r="B53" s="50" t="s">
        <v>204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51">
        <v>0</v>
      </c>
      <c r="O53" s="7">
        <v>250</v>
      </c>
      <c r="P53" s="7">
        <v>196</v>
      </c>
      <c r="Q53" s="7">
        <v>229</v>
      </c>
      <c r="R53" s="7">
        <v>210</v>
      </c>
      <c r="S53" s="7">
        <v>244</v>
      </c>
      <c r="T53" s="7">
        <v>246</v>
      </c>
      <c r="U53" s="7">
        <v>254</v>
      </c>
      <c r="V53" s="51">
        <v>235</v>
      </c>
      <c r="W53" s="7">
        <v>247</v>
      </c>
      <c r="X53" s="7">
        <v>305</v>
      </c>
      <c r="Y53" s="7">
        <v>346</v>
      </c>
      <c r="Z53" s="7">
        <v>330</v>
      </c>
      <c r="AA53" s="7">
        <v>283</v>
      </c>
    </row>
    <row r="54" spans="2:27" x14ac:dyDescent="0.25">
      <c r="B54" s="2" t="s">
        <v>23</v>
      </c>
      <c r="C54" s="7">
        <v>966</v>
      </c>
      <c r="D54" s="7">
        <v>784</v>
      </c>
      <c r="E54" s="7">
        <v>914</v>
      </c>
      <c r="F54" s="7">
        <v>968</v>
      </c>
      <c r="G54" s="7">
        <v>1009</v>
      </c>
      <c r="H54" s="7">
        <v>899</v>
      </c>
      <c r="I54" s="7">
        <v>769</v>
      </c>
      <c r="J54" s="7">
        <v>1070</v>
      </c>
      <c r="K54" s="7">
        <v>1253</v>
      </c>
      <c r="L54" s="7">
        <v>990</v>
      </c>
      <c r="M54" s="7">
        <v>1029</v>
      </c>
      <c r="N54" s="51">
        <v>1312</v>
      </c>
      <c r="O54" s="7">
        <v>989</v>
      </c>
      <c r="P54" s="7">
        <v>1177</v>
      </c>
      <c r="Q54" s="7">
        <v>1397</v>
      </c>
      <c r="R54" s="7">
        <v>1415</v>
      </c>
      <c r="S54" s="7">
        <v>1362</v>
      </c>
      <c r="T54" s="7">
        <v>1287</v>
      </c>
      <c r="U54" s="7">
        <v>1706</v>
      </c>
      <c r="V54" s="7">
        <v>2380</v>
      </c>
      <c r="W54" s="7">
        <v>2529</v>
      </c>
      <c r="X54" s="7">
        <v>2518</v>
      </c>
      <c r="Y54" s="7">
        <v>2904</v>
      </c>
      <c r="Z54" s="7">
        <v>3405</v>
      </c>
      <c r="AA54" s="7">
        <v>3052</v>
      </c>
    </row>
    <row r="55" spans="2:27" x14ac:dyDescent="0.25">
      <c r="B55" s="2" t="s">
        <v>24</v>
      </c>
      <c r="C55" s="7">
        <v>2989</v>
      </c>
      <c r="D55" s="7">
        <v>2879</v>
      </c>
      <c r="E55" s="7">
        <v>2727</v>
      </c>
      <c r="F55" s="7">
        <v>2726</v>
      </c>
      <c r="G55" s="7">
        <v>2307</v>
      </c>
      <c r="H55" s="7">
        <v>2806</v>
      </c>
      <c r="I55" s="7">
        <v>2819</v>
      </c>
      <c r="J55" s="7">
        <v>3353</v>
      </c>
      <c r="K55" s="7">
        <v>3170</v>
      </c>
      <c r="L55" s="7">
        <v>3963</v>
      </c>
      <c r="M55" s="7">
        <v>4156</v>
      </c>
      <c r="N55" s="51">
        <v>4137</v>
      </c>
      <c r="O55" s="7">
        <v>3618</v>
      </c>
      <c r="P55" s="7">
        <v>3748</v>
      </c>
      <c r="Q55" s="7">
        <v>3919</v>
      </c>
      <c r="R55" s="7">
        <v>4429</v>
      </c>
      <c r="S55" s="7">
        <v>4148</v>
      </c>
      <c r="T55" s="7">
        <v>4219</v>
      </c>
      <c r="U55" s="7">
        <v>4914</v>
      </c>
      <c r="V55" s="7">
        <v>5404</v>
      </c>
      <c r="W55" s="7">
        <v>5218</v>
      </c>
      <c r="X55" s="7">
        <v>5269</v>
      </c>
      <c r="Y55" s="7">
        <v>6119</v>
      </c>
      <c r="Z55" s="7">
        <v>6914</v>
      </c>
      <c r="AA55" s="7">
        <v>5990</v>
      </c>
    </row>
    <row r="56" spans="2:27" x14ac:dyDescent="0.25">
      <c r="B56" s="2" t="s">
        <v>25</v>
      </c>
      <c r="C56" s="7">
        <v>663</v>
      </c>
      <c r="D56" s="7">
        <v>727</v>
      </c>
      <c r="E56" s="7">
        <v>863</v>
      </c>
      <c r="F56" s="7">
        <v>848</v>
      </c>
      <c r="G56" s="7">
        <v>539</v>
      </c>
      <c r="H56" s="7">
        <v>663</v>
      </c>
      <c r="I56" s="7">
        <v>810</v>
      </c>
      <c r="J56" s="7">
        <v>895</v>
      </c>
      <c r="K56" s="7">
        <v>555</v>
      </c>
      <c r="L56" s="7">
        <v>742</v>
      </c>
      <c r="M56" s="7">
        <v>887</v>
      </c>
      <c r="N56" s="51">
        <v>845</v>
      </c>
      <c r="O56" s="7">
        <v>587</v>
      </c>
      <c r="P56" s="7">
        <v>701</v>
      </c>
      <c r="Q56" s="7">
        <v>839</v>
      </c>
      <c r="R56" s="7">
        <v>836</v>
      </c>
      <c r="S56" s="7">
        <v>691</v>
      </c>
      <c r="T56" s="7">
        <v>896</v>
      </c>
      <c r="U56" s="7">
        <v>1125</v>
      </c>
      <c r="V56" s="7">
        <v>1174</v>
      </c>
      <c r="W56" s="7">
        <v>895</v>
      </c>
      <c r="X56" s="7">
        <v>999</v>
      </c>
      <c r="Y56" s="7">
        <v>1296</v>
      </c>
      <c r="Z56" s="7">
        <v>1377</v>
      </c>
      <c r="AA56" s="7">
        <v>888</v>
      </c>
    </row>
    <row r="57" spans="2:27" x14ac:dyDescent="0.25">
      <c r="B57" s="2" t="s">
        <v>26</v>
      </c>
      <c r="C57" s="7">
        <v>427</v>
      </c>
      <c r="D57" s="7">
        <v>448</v>
      </c>
      <c r="E57" s="7">
        <v>472</v>
      </c>
      <c r="F57" s="7">
        <v>422</v>
      </c>
      <c r="G57" s="7">
        <v>445</v>
      </c>
      <c r="H57" s="7">
        <v>465</v>
      </c>
      <c r="I57" s="7">
        <v>535</v>
      </c>
      <c r="J57" s="7">
        <v>617</v>
      </c>
      <c r="K57" s="7">
        <v>411</v>
      </c>
      <c r="L57" s="7">
        <v>465</v>
      </c>
      <c r="M57" s="7">
        <v>535</v>
      </c>
      <c r="N57" s="51">
        <v>490</v>
      </c>
      <c r="O57" s="7">
        <v>499</v>
      </c>
      <c r="P57" s="7">
        <v>509</v>
      </c>
      <c r="Q57" s="7">
        <v>559</v>
      </c>
      <c r="R57" s="7">
        <v>424</v>
      </c>
      <c r="S57" s="7">
        <v>461</v>
      </c>
      <c r="T57" s="7">
        <v>571</v>
      </c>
      <c r="U57" s="7">
        <v>899</v>
      </c>
      <c r="V57" s="7">
        <v>760</v>
      </c>
      <c r="W57" s="7">
        <v>1118</v>
      </c>
      <c r="X57" s="7">
        <v>1379</v>
      </c>
      <c r="Y57" s="7">
        <v>1712</v>
      </c>
      <c r="Z57" s="7">
        <v>1627</v>
      </c>
      <c r="AA57" s="7">
        <v>808</v>
      </c>
    </row>
    <row r="58" spans="2:27" x14ac:dyDescent="0.25">
      <c r="B58" s="2" t="s">
        <v>27</v>
      </c>
      <c r="C58" s="7">
        <v>222</v>
      </c>
      <c r="D58" s="7">
        <v>179</v>
      </c>
      <c r="E58" s="7">
        <v>179</v>
      </c>
      <c r="F58" s="7">
        <v>174</v>
      </c>
      <c r="G58" s="7">
        <v>186</v>
      </c>
      <c r="H58" s="7">
        <v>179</v>
      </c>
      <c r="I58" s="7">
        <v>190</v>
      </c>
      <c r="J58" s="7">
        <v>408</v>
      </c>
      <c r="K58" s="7">
        <v>395</v>
      </c>
      <c r="L58" s="7">
        <v>236</v>
      </c>
      <c r="M58" s="7">
        <v>231</v>
      </c>
      <c r="N58" s="51">
        <v>128</v>
      </c>
      <c r="O58" s="7">
        <v>132</v>
      </c>
      <c r="P58" s="7">
        <v>121</v>
      </c>
      <c r="Q58" s="7">
        <v>139</v>
      </c>
      <c r="R58" s="7">
        <v>102</v>
      </c>
      <c r="S58" s="7">
        <v>221</v>
      </c>
      <c r="T58" s="7">
        <v>389</v>
      </c>
      <c r="U58" s="7">
        <v>234</v>
      </c>
      <c r="V58" s="7">
        <v>182</v>
      </c>
      <c r="W58" s="7">
        <v>217</v>
      </c>
      <c r="X58" s="7">
        <v>251</v>
      </c>
      <c r="Y58" s="7">
        <v>259</v>
      </c>
      <c r="Z58" s="7">
        <v>188</v>
      </c>
      <c r="AA58" s="7">
        <v>144</v>
      </c>
    </row>
    <row r="59" spans="2:27" x14ac:dyDescent="0.25">
      <c r="B59" s="2" t="s">
        <v>28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51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</row>
    <row r="60" spans="2:27" x14ac:dyDescent="0.25">
      <c r="B60" s="2" t="s">
        <v>29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51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</row>
    <row r="61" spans="2:27" x14ac:dyDescent="0.25">
      <c r="B61" s="2" t="s">
        <v>185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51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</row>
    <row r="62" spans="2:27" x14ac:dyDescent="0.25">
      <c r="B62" s="2" t="s">
        <v>30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51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</row>
    <row r="63" spans="2:27" x14ac:dyDescent="0.25">
      <c r="B63" s="2" t="s">
        <v>31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51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</row>
    <row r="64" spans="2:27" x14ac:dyDescent="0.25">
      <c r="B64" s="2" t="s">
        <v>32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62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133">
        <v>1021</v>
      </c>
      <c r="X64" s="133">
        <v>1317</v>
      </c>
      <c r="Y64" s="133">
        <v>1202</v>
      </c>
      <c r="Z64" s="133">
        <v>1529</v>
      </c>
      <c r="AA64" s="133">
        <v>1333</v>
      </c>
    </row>
    <row r="65" spans="2:27" s="16" customFormat="1" x14ac:dyDescent="0.25">
      <c r="B65" s="1"/>
      <c r="C65" s="13">
        <f t="shared" ref="C65:V65" si="30">SUM(C50:C64)</f>
        <v>9187</v>
      </c>
      <c r="D65" s="13">
        <f t="shared" si="30"/>
        <v>8495</v>
      </c>
      <c r="E65" s="13">
        <f t="shared" si="30"/>
        <v>8095</v>
      </c>
      <c r="F65" s="13">
        <f t="shared" si="30"/>
        <v>8465</v>
      </c>
      <c r="G65" s="13">
        <f t="shared" si="30"/>
        <v>7707</v>
      </c>
      <c r="H65" s="13">
        <f t="shared" si="30"/>
        <v>8313</v>
      </c>
      <c r="I65" s="13">
        <f t="shared" si="30"/>
        <v>8881</v>
      </c>
      <c r="J65" s="13">
        <f t="shared" si="30"/>
        <v>10473</v>
      </c>
      <c r="K65" s="13">
        <f t="shared" si="30"/>
        <v>9768</v>
      </c>
      <c r="L65" s="13">
        <f t="shared" si="30"/>
        <v>9067</v>
      </c>
      <c r="M65" s="13">
        <f t="shared" si="30"/>
        <v>10958</v>
      </c>
      <c r="N65" s="59">
        <f t="shared" si="30"/>
        <v>14127</v>
      </c>
      <c r="O65" s="13">
        <f t="shared" si="30"/>
        <v>9511</v>
      </c>
      <c r="P65" s="13">
        <f t="shared" si="30"/>
        <v>9462</v>
      </c>
      <c r="Q65" s="13">
        <f t="shared" si="30"/>
        <v>9151</v>
      </c>
      <c r="R65" s="13">
        <f t="shared" si="30"/>
        <v>9703</v>
      </c>
      <c r="S65" s="13">
        <f t="shared" si="30"/>
        <v>10553</v>
      </c>
      <c r="T65" s="13">
        <f t="shared" si="30"/>
        <v>12238</v>
      </c>
      <c r="U65" s="13">
        <f t="shared" si="30"/>
        <v>13909</v>
      </c>
      <c r="V65" s="13">
        <f t="shared" si="30"/>
        <v>13334</v>
      </c>
      <c r="W65" s="13">
        <f t="shared" ref="W65:X65" si="31">SUM(W50:W64)</f>
        <v>13778</v>
      </c>
      <c r="X65" s="13">
        <f t="shared" si="31"/>
        <v>13936</v>
      </c>
      <c r="Y65" s="13">
        <f t="shared" ref="Y65:Z65" si="32">SUM(Y50:Y64)</f>
        <v>15776</v>
      </c>
      <c r="Z65" s="13">
        <f t="shared" si="32"/>
        <v>19313</v>
      </c>
      <c r="AA65" s="13">
        <f t="shared" ref="AA65" si="33">SUM(AA50:AA64)</f>
        <v>15559</v>
      </c>
    </row>
    <row r="66" spans="2:27" x14ac:dyDescent="0.25">
      <c r="B66" s="2" t="s">
        <v>33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51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</row>
    <row r="67" spans="2:27" s="16" customFormat="1" x14ac:dyDescent="0.25">
      <c r="B67" s="1"/>
      <c r="C67" s="14">
        <f t="shared" ref="C67:O67" si="34">SUM(C65:C66)</f>
        <v>9187</v>
      </c>
      <c r="D67" s="14">
        <f t="shared" si="34"/>
        <v>8495</v>
      </c>
      <c r="E67" s="14">
        <f t="shared" si="34"/>
        <v>8095</v>
      </c>
      <c r="F67" s="14">
        <f t="shared" si="34"/>
        <v>9987</v>
      </c>
      <c r="G67" s="14">
        <f t="shared" si="34"/>
        <v>9229</v>
      </c>
      <c r="H67" s="14">
        <f t="shared" si="34"/>
        <v>9835</v>
      </c>
      <c r="I67" s="14">
        <f t="shared" si="34"/>
        <v>10487</v>
      </c>
      <c r="J67" s="14">
        <f t="shared" si="34"/>
        <v>11999</v>
      </c>
      <c r="K67" s="14">
        <f t="shared" si="34"/>
        <v>11294</v>
      </c>
      <c r="L67" s="14">
        <f t="shared" si="34"/>
        <v>9070</v>
      </c>
      <c r="M67" s="14">
        <f t="shared" si="34"/>
        <v>10961</v>
      </c>
      <c r="N67" s="56">
        <f t="shared" si="34"/>
        <v>14235</v>
      </c>
      <c r="O67" s="14">
        <f t="shared" si="34"/>
        <v>9630</v>
      </c>
      <c r="P67" s="14">
        <f t="shared" ref="P67:Q67" si="35">SUM(P65:P66)</f>
        <v>9462</v>
      </c>
      <c r="Q67" s="14">
        <f t="shared" si="35"/>
        <v>9153</v>
      </c>
      <c r="R67" s="14">
        <f t="shared" ref="R67:S67" si="36">SUM(R65:R66)</f>
        <v>9705</v>
      </c>
      <c r="S67" s="14">
        <f t="shared" si="36"/>
        <v>10555</v>
      </c>
      <c r="T67" s="14">
        <f t="shared" ref="T67:U67" si="37">SUM(T65:T66)</f>
        <v>12240</v>
      </c>
      <c r="U67" s="14">
        <f t="shared" si="37"/>
        <v>13911</v>
      </c>
      <c r="V67" s="14">
        <f t="shared" ref="V67:W67" si="38">SUM(V65:V66)</f>
        <v>13336</v>
      </c>
      <c r="W67" s="14">
        <f t="shared" si="38"/>
        <v>13780</v>
      </c>
      <c r="X67" s="14">
        <f t="shared" ref="X67:Y67" si="39">SUM(X65:X66)</f>
        <v>13937</v>
      </c>
      <c r="Y67" s="14">
        <f t="shared" si="39"/>
        <v>15788</v>
      </c>
      <c r="Z67" s="14">
        <f t="shared" ref="Z67:AA67" si="40">SUM(Z65:Z66)</f>
        <v>20476</v>
      </c>
      <c r="AA67" s="14">
        <f t="shared" si="40"/>
        <v>15570</v>
      </c>
    </row>
    <row r="68" spans="2:27" x14ac:dyDescent="0.25">
      <c r="B68" s="1" t="s">
        <v>11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5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2:27" x14ac:dyDescent="0.25">
      <c r="B69" s="2" t="s">
        <v>22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51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</row>
    <row r="70" spans="2:27" x14ac:dyDescent="0.25">
      <c r="B70" s="2" t="s">
        <v>4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51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</row>
    <row r="71" spans="2:27" x14ac:dyDescent="0.25">
      <c r="B71" s="2" t="s">
        <v>232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</row>
    <row r="72" spans="2:27" x14ac:dyDescent="0.25">
      <c r="B72" s="50" t="s">
        <v>205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51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</row>
    <row r="73" spans="2:27" x14ac:dyDescent="0.25">
      <c r="B73" s="2" t="s">
        <v>14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51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</row>
    <row r="74" spans="2:27" x14ac:dyDescent="0.25">
      <c r="B74" s="2" t="s">
        <v>13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51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</row>
    <row r="75" spans="2:27" x14ac:dyDescent="0.25">
      <c r="B75" s="2" t="s">
        <v>34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51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3751</v>
      </c>
      <c r="AA75" s="7">
        <v>3589</v>
      </c>
    </row>
    <row r="76" spans="2:27" x14ac:dyDescent="0.25">
      <c r="B76" s="2" t="s">
        <v>29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51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</row>
    <row r="77" spans="2:27" x14ac:dyDescent="0.25">
      <c r="B77" s="2" t="s">
        <v>206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51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</row>
    <row r="78" spans="2:27" x14ac:dyDescent="0.25">
      <c r="B78" s="2" t="s">
        <v>185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51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</row>
    <row r="79" spans="2:27" x14ac:dyDescent="0.25">
      <c r="B79" s="2" t="s">
        <v>30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51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</row>
    <row r="80" spans="2:27" x14ac:dyDescent="0.25">
      <c r="B80" s="2" t="s">
        <v>31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51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</row>
    <row r="81" spans="2:27" s="16" customFormat="1" x14ac:dyDescent="0.25">
      <c r="B81" s="2" t="s">
        <v>32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51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</row>
    <row r="82" spans="2:27" s="16" customFormat="1" x14ac:dyDescent="0.25">
      <c r="C82" s="14">
        <f t="shared" ref="C82:V82" si="41">SUM(C69:C81)</f>
        <v>31706</v>
      </c>
      <c r="D82" s="14">
        <f t="shared" si="41"/>
        <v>30000</v>
      </c>
      <c r="E82" s="14">
        <f t="shared" si="41"/>
        <v>31122</v>
      </c>
      <c r="F82" s="14">
        <f t="shared" si="41"/>
        <v>30788</v>
      </c>
      <c r="G82" s="14">
        <f t="shared" si="41"/>
        <v>30449</v>
      </c>
      <c r="H82" s="14">
        <f t="shared" si="41"/>
        <v>31935</v>
      </c>
      <c r="I82" s="14">
        <f t="shared" si="41"/>
        <v>30317</v>
      </c>
      <c r="J82" s="14">
        <f t="shared" si="41"/>
        <v>29855</v>
      </c>
      <c r="K82" s="14">
        <f t="shared" si="41"/>
        <v>29107</v>
      </c>
      <c r="L82" s="14">
        <f t="shared" si="41"/>
        <v>31578</v>
      </c>
      <c r="M82" s="14">
        <f t="shared" si="41"/>
        <v>31099</v>
      </c>
      <c r="N82" s="56">
        <f t="shared" si="41"/>
        <v>27352</v>
      </c>
      <c r="O82" s="14">
        <f t="shared" si="41"/>
        <v>27383</v>
      </c>
      <c r="P82" s="14">
        <f t="shared" si="41"/>
        <v>27028</v>
      </c>
      <c r="Q82" s="14">
        <f t="shared" si="41"/>
        <v>28446</v>
      </c>
      <c r="R82" s="14">
        <f t="shared" si="41"/>
        <v>28111</v>
      </c>
      <c r="S82" s="14">
        <f t="shared" si="41"/>
        <v>36544</v>
      </c>
      <c r="T82" s="14">
        <f t="shared" si="41"/>
        <v>38588</v>
      </c>
      <c r="U82" s="14">
        <f t="shared" si="41"/>
        <v>38154</v>
      </c>
      <c r="V82" s="14">
        <f t="shared" si="41"/>
        <v>36346</v>
      </c>
      <c r="W82" s="14">
        <f t="shared" ref="W82:X82" si="42">SUM(W69:W81)</f>
        <v>37372</v>
      </c>
      <c r="X82" s="14">
        <f t="shared" si="42"/>
        <v>34685</v>
      </c>
      <c r="Y82" s="14">
        <f t="shared" ref="Y82:Z82" si="43">SUM(Y69:Y81)</f>
        <v>37114</v>
      </c>
      <c r="Z82" s="14">
        <f t="shared" si="43"/>
        <v>40594</v>
      </c>
      <c r="AA82" s="14">
        <f t="shared" ref="AA82" si="44">SUM(AA69:AA81)</f>
        <v>34483</v>
      </c>
    </row>
    <row r="83" spans="2:27" x14ac:dyDescent="0.25">
      <c r="B83" s="1" t="s">
        <v>35</v>
      </c>
      <c r="C83" s="14">
        <f t="shared" ref="C83:V83" si="45">C67+C82</f>
        <v>40893</v>
      </c>
      <c r="D83" s="14">
        <f t="shared" si="45"/>
        <v>38495</v>
      </c>
      <c r="E83" s="14">
        <f t="shared" si="45"/>
        <v>39217</v>
      </c>
      <c r="F83" s="14">
        <f t="shared" si="45"/>
        <v>40775</v>
      </c>
      <c r="G83" s="14">
        <f t="shared" si="45"/>
        <v>39678</v>
      </c>
      <c r="H83" s="14">
        <f t="shared" si="45"/>
        <v>41770</v>
      </c>
      <c r="I83" s="14">
        <f t="shared" si="45"/>
        <v>40804</v>
      </c>
      <c r="J83" s="14">
        <f t="shared" si="45"/>
        <v>41854</v>
      </c>
      <c r="K83" s="14">
        <f t="shared" si="45"/>
        <v>40401</v>
      </c>
      <c r="L83" s="14">
        <f t="shared" si="45"/>
        <v>40648</v>
      </c>
      <c r="M83" s="14">
        <f t="shared" si="45"/>
        <v>42060</v>
      </c>
      <c r="N83" s="56">
        <f t="shared" si="45"/>
        <v>41587</v>
      </c>
      <c r="O83" s="14">
        <f t="shared" si="45"/>
        <v>37013</v>
      </c>
      <c r="P83" s="14">
        <f t="shared" si="45"/>
        <v>36490</v>
      </c>
      <c r="Q83" s="14">
        <f t="shared" si="45"/>
        <v>37599</v>
      </c>
      <c r="R83" s="14">
        <f t="shared" si="45"/>
        <v>37816</v>
      </c>
      <c r="S83" s="14">
        <f t="shared" si="45"/>
        <v>47099</v>
      </c>
      <c r="T83" s="14">
        <f t="shared" si="45"/>
        <v>50828</v>
      </c>
      <c r="U83" s="14">
        <f t="shared" si="45"/>
        <v>52065</v>
      </c>
      <c r="V83" s="14">
        <f t="shared" si="45"/>
        <v>49682</v>
      </c>
      <c r="W83" s="14">
        <f t="shared" ref="W83:X83" si="46">W67+W82</f>
        <v>51152</v>
      </c>
      <c r="X83" s="14">
        <f t="shared" si="46"/>
        <v>48622</v>
      </c>
      <c r="Y83" s="14">
        <f t="shared" ref="Y83:Z83" si="47">Y67+Y82</f>
        <v>52902</v>
      </c>
      <c r="Z83" s="14">
        <f t="shared" si="47"/>
        <v>61070</v>
      </c>
      <c r="AA83" s="14">
        <f t="shared" ref="AA83" si="48">AA67+AA82</f>
        <v>50053</v>
      </c>
    </row>
    <row r="84" spans="2:27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5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2:27" x14ac:dyDescent="0.25">
      <c r="B85" s="1" t="s">
        <v>36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5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2:27" x14ac:dyDescent="0.25">
      <c r="B86" s="2" t="s">
        <v>37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51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</row>
    <row r="87" spans="2:27" x14ac:dyDescent="0.25">
      <c r="B87" s="2" t="s">
        <v>38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51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</row>
    <row r="88" spans="2:27" x14ac:dyDescent="0.25">
      <c r="B88" s="2" t="s">
        <v>80</v>
      </c>
      <c r="C88" s="7">
        <v>148</v>
      </c>
      <c r="D88" s="7">
        <v>402</v>
      </c>
      <c r="E88" s="7">
        <v>505</v>
      </c>
      <c r="F88" s="7">
        <v>0</v>
      </c>
      <c r="G88" s="18">
        <v>-573</v>
      </c>
      <c r="H88" s="7">
        <v>10</v>
      </c>
      <c r="I88" s="7">
        <v>479</v>
      </c>
      <c r="J88" s="7">
        <v>0</v>
      </c>
      <c r="K88" s="18">
        <v>-322</v>
      </c>
      <c r="L88" s="18">
        <v>-228</v>
      </c>
      <c r="M88" s="18">
        <v>-44</v>
      </c>
      <c r="N88" s="51">
        <v>0</v>
      </c>
      <c r="O88" s="7">
        <v>4388</v>
      </c>
      <c r="P88" s="7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</row>
    <row r="89" spans="2:27" s="16" customFormat="1" x14ac:dyDescent="0.25">
      <c r="B89" s="2" t="s">
        <v>39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51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</row>
    <row r="90" spans="2:27" x14ac:dyDescent="0.25">
      <c r="B90" s="1" t="s">
        <v>40</v>
      </c>
      <c r="C90" s="17">
        <f t="shared" ref="C90:O90" si="49">SUM(C86:C89)</f>
        <v>38202</v>
      </c>
      <c r="D90" s="17">
        <f t="shared" si="49"/>
        <v>37764</v>
      </c>
      <c r="E90" s="17">
        <f t="shared" si="49"/>
        <v>37957</v>
      </c>
      <c r="F90" s="17">
        <f t="shared" si="49"/>
        <v>36165</v>
      </c>
      <c r="G90" s="17">
        <f t="shared" si="49"/>
        <v>35155</v>
      </c>
      <c r="H90" s="17">
        <f t="shared" si="49"/>
        <v>36199</v>
      </c>
      <c r="I90" s="17">
        <f t="shared" si="49"/>
        <v>36185</v>
      </c>
      <c r="J90" s="17">
        <f t="shared" si="49"/>
        <v>35958</v>
      </c>
      <c r="K90" s="17">
        <f t="shared" si="49"/>
        <v>35276</v>
      </c>
      <c r="L90" s="17">
        <f t="shared" si="49"/>
        <v>36380</v>
      </c>
      <c r="M90" s="17">
        <f t="shared" si="49"/>
        <v>36302</v>
      </c>
      <c r="N90" s="64">
        <f t="shared" si="49"/>
        <v>37836</v>
      </c>
      <c r="O90" s="17">
        <f t="shared" si="49"/>
        <v>40999</v>
      </c>
      <c r="P90" s="17">
        <f t="shared" ref="P90:Q90" si="50">SUM(P86:P89)</f>
        <v>40270</v>
      </c>
      <c r="Q90" s="17">
        <f t="shared" si="50"/>
        <v>40775</v>
      </c>
      <c r="R90" s="17">
        <f t="shared" ref="R90:S90" si="51">SUM(R86:R89)</f>
        <v>41769</v>
      </c>
      <c r="S90" s="17">
        <f t="shared" si="51"/>
        <v>41631</v>
      </c>
      <c r="T90" s="17">
        <f t="shared" ref="T90:U90" si="52">SUM(T86:T89)</f>
        <v>41985</v>
      </c>
      <c r="U90" s="17">
        <f t="shared" si="52"/>
        <v>42801</v>
      </c>
      <c r="V90" s="17">
        <f t="shared" ref="V90:W90" si="53">SUM(V86:V89)</f>
        <v>42341</v>
      </c>
      <c r="W90" s="17">
        <f t="shared" si="53"/>
        <v>44262</v>
      </c>
      <c r="X90" s="17">
        <f t="shared" ref="X90:Y90" si="54">SUM(X86:X89)</f>
        <v>45634</v>
      </c>
      <c r="Y90" s="17">
        <f t="shared" si="54"/>
        <v>48349</v>
      </c>
      <c r="Z90" s="17">
        <f t="shared" ref="Z90:AA90" si="55">SUM(Z86:Z89)</f>
        <v>49914</v>
      </c>
      <c r="AA90" s="17">
        <f t="shared" si="55"/>
        <v>47688</v>
      </c>
    </row>
    <row r="91" spans="2:27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2:27" x14ac:dyDescent="0.25">
      <c r="B92" s="2" t="s">
        <v>41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51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</row>
    <row r="93" spans="2:27" s="16" customFormat="1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2:27" x14ac:dyDescent="0.25">
      <c r="B94" s="1" t="s">
        <v>158</v>
      </c>
      <c r="C94" s="14">
        <f t="shared" ref="C94:O94" si="56">C90+C92</f>
        <v>41974</v>
      </c>
      <c r="D94" s="14">
        <f t="shared" si="56"/>
        <v>40660</v>
      </c>
      <c r="E94" s="14">
        <f t="shared" si="56"/>
        <v>40941</v>
      </c>
      <c r="F94" s="14">
        <f t="shared" si="56"/>
        <v>38823</v>
      </c>
      <c r="G94" s="14">
        <f t="shared" si="56"/>
        <v>37835</v>
      </c>
      <c r="H94" s="14">
        <f t="shared" si="56"/>
        <v>38918</v>
      </c>
      <c r="I94" s="14">
        <f t="shared" si="56"/>
        <v>38627</v>
      </c>
      <c r="J94" s="14">
        <f t="shared" si="56"/>
        <v>40815</v>
      </c>
      <c r="K94" s="14">
        <f t="shared" si="56"/>
        <v>40166</v>
      </c>
      <c r="L94" s="14">
        <f t="shared" si="56"/>
        <v>41930</v>
      </c>
      <c r="M94" s="14">
        <f t="shared" si="56"/>
        <v>42061</v>
      </c>
      <c r="N94" s="56">
        <f t="shared" si="56"/>
        <v>43459</v>
      </c>
      <c r="O94" s="14">
        <f t="shared" si="56"/>
        <v>46504</v>
      </c>
      <c r="P94" s="14">
        <f t="shared" ref="P94:Q94" si="57">P90+P92</f>
        <v>45662</v>
      </c>
      <c r="Q94" s="14">
        <f t="shared" si="57"/>
        <v>46338</v>
      </c>
      <c r="R94" s="14">
        <f t="shared" ref="R94:S94" si="58">R90+R92</f>
        <v>46907</v>
      </c>
      <c r="S94" s="14">
        <f t="shared" si="58"/>
        <v>46422</v>
      </c>
      <c r="T94" s="14">
        <f t="shared" ref="T94:U94" si="59">T90+T92</f>
        <v>46673</v>
      </c>
      <c r="U94" s="14">
        <f t="shared" si="59"/>
        <v>47544</v>
      </c>
      <c r="V94" s="14">
        <f t="shared" ref="V94:W94" si="60">V90+V92</f>
        <v>46796</v>
      </c>
      <c r="W94" s="14">
        <f t="shared" si="60"/>
        <v>49055</v>
      </c>
      <c r="X94" s="14">
        <f t="shared" ref="X94:Y94" si="61">X90+X92</f>
        <v>51452</v>
      </c>
      <c r="Y94" s="14">
        <f t="shared" si="61"/>
        <v>55592</v>
      </c>
      <c r="Z94" s="14">
        <f t="shared" ref="Z94:AA94" si="62">Z90+Z92</f>
        <v>57288</v>
      </c>
      <c r="AA94" s="14">
        <f t="shared" si="62"/>
        <v>55122</v>
      </c>
    </row>
    <row r="95" spans="2:27" s="16" customFormat="1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2:27" ht="14.95" thickBot="1" x14ac:dyDescent="0.3">
      <c r="B96" s="1" t="s">
        <v>42</v>
      </c>
      <c r="C96" s="15">
        <f t="shared" ref="C96:O96" si="63">C94+C83</f>
        <v>82867</v>
      </c>
      <c r="D96" s="15">
        <f t="shared" si="63"/>
        <v>79155</v>
      </c>
      <c r="E96" s="15">
        <f t="shared" si="63"/>
        <v>80158</v>
      </c>
      <c r="F96" s="15">
        <f t="shared" si="63"/>
        <v>79598</v>
      </c>
      <c r="G96" s="15">
        <f t="shared" si="63"/>
        <v>77513</v>
      </c>
      <c r="H96" s="15">
        <f t="shared" si="63"/>
        <v>80688</v>
      </c>
      <c r="I96" s="15">
        <f t="shared" si="63"/>
        <v>79431</v>
      </c>
      <c r="J96" s="15">
        <f t="shared" si="63"/>
        <v>82669</v>
      </c>
      <c r="K96" s="15">
        <f t="shared" si="63"/>
        <v>80567</v>
      </c>
      <c r="L96" s="15">
        <f t="shared" si="63"/>
        <v>82578</v>
      </c>
      <c r="M96" s="15">
        <f t="shared" si="63"/>
        <v>84121</v>
      </c>
      <c r="N96" s="58">
        <f t="shared" si="63"/>
        <v>85046</v>
      </c>
      <c r="O96" s="15">
        <f t="shared" si="63"/>
        <v>83517</v>
      </c>
      <c r="P96" s="15">
        <f t="shared" ref="P96:Q96" si="64">P94+P83</f>
        <v>82152</v>
      </c>
      <c r="Q96" s="15">
        <f t="shared" si="64"/>
        <v>83937</v>
      </c>
      <c r="R96" s="15">
        <f t="shared" ref="R96:S96" si="65">R94+R83</f>
        <v>84723</v>
      </c>
      <c r="S96" s="15">
        <f t="shared" si="65"/>
        <v>93521</v>
      </c>
      <c r="T96" s="15">
        <f t="shared" ref="T96:U96" si="66">T94+T83</f>
        <v>97501</v>
      </c>
      <c r="U96" s="15">
        <f t="shared" si="66"/>
        <v>99609</v>
      </c>
      <c r="V96" s="15">
        <f t="shared" ref="V96:W96" si="67">V94+V83</f>
        <v>96478</v>
      </c>
      <c r="W96" s="15">
        <f t="shared" si="67"/>
        <v>100207</v>
      </c>
      <c r="X96" s="15">
        <f t="shared" ref="X96:Y96" si="68">X94+X83</f>
        <v>100074</v>
      </c>
      <c r="Y96" s="15">
        <f t="shared" si="68"/>
        <v>108494</v>
      </c>
      <c r="Z96" s="15">
        <f t="shared" ref="Z96:AA96" si="69">Z94+Z83</f>
        <v>118358</v>
      </c>
      <c r="AA96" s="15">
        <f t="shared" si="69"/>
        <v>105175</v>
      </c>
    </row>
    <row r="97" spans="3:27" ht="14.95" thickTop="1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1"/>
    </row>
    <row r="98" spans="3:27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</row>
    <row r="99" spans="3:27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3:27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</row>
    <row r="101" spans="3:27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</row>
    <row r="102" spans="3:27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</row>
    <row r="103" spans="3:27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</row>
    <row r="104" spans="3:27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</row>
    <row r="105" spans="3:27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</row>
    <row r="106" spans="3:27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</row>
    <row r="107" spans="3:27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</row>
    <row r="108" spans="3:27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</row>
    <row r="109" spans="3:27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</row>
    <row r="110" spans="3:27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</row>
    <row r="111" spans="3:27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</row>
    <row r="112" spans="3:27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1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51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51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51"/>
    </row>
    <row r="122" spans="3:14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51"/>
    </row>
  </sheetData>
  <mergeCells count="7">
    <mergeCell ref="AA4:AA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H53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96.75" bestFit="1" customWidth="1"/>
    <col min="3" max="13" width="18" customWidth="1"/>
    <col min="14" max="14" width="18" style="52" customWidth="1"/>
    <col min="15" max="34" width="18" customWidth="1"/>
  </cols>
  <sheetData>
    <row r="4" spans="2:34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5">
        <v>2021</v>
      </c>
      <c r="AC4" s="145"/>
      <c r="AD4" s="145"/>
      <c r="AE4" s="145"/>
      <c r="AF4" s="148" t="s">
        <v>189</v>
      </c>
      <c r="AG4" s="145"/>
      <c r="AH4" s="148" t="s">
        <v>234</v>
      </c>
    </row>
    <row r="5" spans="2:34" ht="15.65" x14ac:dyDescent="0.25">
      <c r="B5" s="4" t="s">
        <v>154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8"/>
      <c r="AG5" s="145"/>
      <c r="AH5" s="148"/>
    </row>
    <row r="6" spans="2:34" ht="17.7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6" t="s">
        <v>151</v>
      </c>
      <c r="P6" s="6" t="s">
        <v>53</v>
      </c>
      <c r="Q6" s="31" t="s">
        <v>54</v>
      </c>
      <c r="R6" s="6" t="s">
        <v>157</v>
      </c>
      <c r="S6" s="6" t="s">
        <v>159</v>
      </c>
      <c r="T6" s="6" t="s">
        <v>162</v>
      </c>
      <c r="U6" s="6" t="s">
        <v>182</v>
      </c>
      <c r="V6" s="31" t="s">
        <v>183</v>
      </c>
      <c r="W6" s="6" t="s">
        <v>220</v>
      </c>
      <c r="X6" s="6" t="s">
        <v>221</v>
      </c>
      <c r="Y6" s="6" t="s">
        <v>222</v>
      </c>
      <c r="Z6" s="6" t="s">
        <v>223</v>
      </c>
      <c r="AA6" s="140" t="s">
        <v>224</v>
      </c>
      <c r="AB6" s="140" t="s">
        <v>225</v>
      </c>
      <c r="AC6" s="140" t="s">
        <v>226</v>
      </c>
      <c r="AD6" s="140" t="s">
        <v>227</v>
      </c>
      <c r="AE6" s="139" t="s">
        <v>219</v>
      </c>
      <c r="AF6" s="148"/>
      <c r="AG6" s="143" t="s">
        <v>233</v>
      </c>
      <c r="AH6" s="148"/>
    </row>
    <row r="7" spans="2:34" x14ac:dyDescent="0.25">
      <c r="B7" s="12" t="s">
        <v>55</v>
      </c>
      <c r="G7" s="33"/>
      <c r="L7" s="33"/>
      <c r="Q7" s="49"/>
      <c r="V7" s="49"/>
      <c r="AA7" s="49"/>
      <c r="AF7" s="49"/>
      <c r="AH7" s="49"/>
    </row>
    <row r="8" spans="2:34" x14ac:dyDescent="0.25">
      <c r="B8" s="2" t="s">
        <v>56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4">
        <v>26799</v>
      </c>
      <c r="M8" s="7">
        <v>6416</v>
      </c>
      <c r="N8" s="51">
        <v>7799</v>
      </c>
      <c r="O8" s="7">
        <v>8647</v>
      </c>
      <c r="P8" s="7">
        <f>Q8-O8-N8-M8</f>
        <v>8069</v>
      </c>
      <c r="Q8" s="34">
        <v>30931</v>
      </c>
      <c r="R8" s="7">
        <v>6720</v>
      </c>
      <c r="S8" s="7">
        <v>7853</v>
      </c>
      <c r="T8" s="65">
        <v>8268</v>
      </c>
      <c r="U8" s="65">
        <v>8066</v>
      </c>
      <c r="V8" s="87">
        <v>30907</v>
      </c>
      <c r="W8" s="121">
        <v>6594</v>
      </c>
      <c r="X8" s="121">
        <v>7369</v>
      </c>
      <c r="Y8" s="121">
        <v>10297</v>
      </c>
      <c r="Z8" s="65">
        <v>11123</v>
      </c>
      <c r="AA8" s="87">
        <v>35383</v>
      </c>
      <c r="AB8" s="65">
        <v>9820</v>
      </c>
      <c r="AC8" s="65">
        <v>12243</v>
      </c>
      <c r="AD8" s="65">
        <v>13388</v>
      </c>
      <c r="AE8" s="65">
        <v>13557</v>
      </c>
      <c r="AF8" s="87">
        <v>49008</v>
      </c>
      <c r="AG8" s="65">
        <v>11691</v>
      </c>
      <c r="AH8" s="87">
        <f>AG8</f>
        <v>11691</v>
      </c>
    </row>
    <row r="9" spans="2:34" x14ac:dyDescent="0.25">
      <c r="B9" s="2" t="s">
        <v>57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3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35">
        <v>-21171</v>
      </c>
      <c r="M9" s="19">
        <v>-5214</v>
      </c>
      <c r="N9" s="57">
        <v>-6218</v>
      </c>
      <c r="O9" s="19">
        <v>-6941</v>
      </c>
      <c r="P9" s="19">
        <f>Q9-O9-N9-M9</f>
        <v>-6656</v>
      </c>
      <c r="Q9" s="35">
        <v>-25029</v>
      </c>
      <c r="R9" s="19">
        <v>-5838</v>
      </c>
      <c r="S9" s="19">
        <v>-6435</v>
      </c>
      <c r="T9" s="66">
        <v>-6930</v>
      </c>
      <c r="U9" s="66">
        <v>-6609</v>
      </c>
      <c r="V9" s="88">
        <v>-25812</v>
      </c>
      <c r="W9" s="122">
        <v>-5846</v>
      </c>
      <c r="X9" s="122">
        <v>-6349</v>
      </c>
      <c r="Y9" s="122">
        <v>-7734</v>
      </c>
      <c r="Z9" s="66">
        <v>-8495</v>
      </c>
      <c r="AA9" s="88">
        <v>-28424</v>
      </c>
      <c r="AB9" s="66">
        <v>-7328</v>
      </c>
      <c r="AC9" s="66">
        <v>-9077</v>
      </c>
      <c r="AD9" s="66">
        <v>-10458</v>
      </c>
      <c r="AE9" s="66">
        <v>-11071</v>
      </c>
      <c r="AF9" s="88">
        <v>-37934</v>
      </c>
      <c r="AG9" s="66">
        <v>-9485</v>
      </c>
      <c r="AH9" s="88">
        <f t="shared" ref="AH9" si="0">AG9</f>
        <v>-9485</v>
      </c>
    </row>
    <row r="10" spans="2:34" x14ac:dyDescent="0.25">
      <c r="B10" s="12" t="s">
        <v>58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36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36">
        <f t="shared" si="1"/>
        <v>5628</v>
      </c>
      <c r="M10" s="13">
        <f t="shared" si="1"/>
        <v>1202</v>
      </c>
      <c r="N10" s="59">
        <f t="shared" si="1"/>
        <v>1581</v>
      </c>
      <c r="O10" s="13">
        <f t="shared" si="1"/>
        <v>1706</v>
      </c>
      <c r="P10" s="13">
        <f t="shared" si="1"/>
        <v>1413</v>
      </c>
      <c r="Q10" s="36">
        <f t="shared" si="1"/>
        <v>5902</v>
      </c>
      <c r="R10" s="13">
        <f t="shared" si="1"/>
        <v>882</v>
      </c>
      <c r="S10" s="13">
        <f t="shared" ref="S10:U10" si="2">SUM(S8:S9)</f>
        <v>1418</v>
      </c>
      <c r="T10" s="67">
        <f t="shared" si="2"/>
        <v>1338</v>
      </c>
      <c r="U10" s="67">
        <f t="shared" si="2"/>
        <v>1457</v>
      </c>
      <c r="V10" s="89">
        <f t="shared" ref="V10" si="3">SUM(V8:V9)</f>
        <v>5095</v>
      </c>
      <c r="W10" s="123">
        <f t="shared" ref="W10:X10" si="4">SUM(W8:W9)</f>
        <v>748</v>
      </c>
      <c r="X10" s="123">
        <f t="shared" si="4"/>
        <v>1020</v>
      </c>
      <c r="Y10" s="123">
        <f t="shared" ref="Y10:AA10" si="5">SUM(Y8:Y9)</f>
        <v>2563</v>
      </c>
      <c r="Z10" s="67">
        <f t="shared" si="5"/>
        <v>2628</v>
      </c>
      <c r="AA10" s="89">
        <f t="shared" si="5"/>
        <v>6959</v>
      </c>
      <c r="AB10" s="67">
        <f t="shared" ref="AB10:AF10" si="6">SUM(AB8:AB9)</f>
        <v>2492</v>
      </c>
      <c r="AC10" s="67">
        <f t="shared" ref="AC10:AD10" si="7">SUM(AC8:AC9)</f>
        <v>3166</v>
      </c>
      <c r="AD10" s="67">
        <f t="shared" si="7"/>
        <v>2930</v>
      </c>
      <c r="AE10" s="67">
        <f t="shared" si="6"/>
        <v>2486</v>
      </c>
      <c r="AF10" s="89">
        <f t="shared" si="6"/>
        <v>11074</v>
      </c>
      <c r="AG10" s="67">
        <f t="shared" ref="AG10:AH10" si="8">SUM(AG8:AG9)</f>
        <v>2206</v>
      </c>
      <c r="AH10" s="89">
        <f t="shared" si="8"/>
        <v>2206</v>
      </c>
    </row>
    <row r="11" spans="2:34" x14ac:dyDescent="0.25">
      <c r="B11" s="2"/>
      <c r="C11" s="7"/>
      <c r="D11" s="7"/>
      <c r="E11" s="7"/>
      <c r="F11" s="7"/>
      <c r="G11" s="34"/>
      <c r="H11" s="7"/>
      <c r="I11" s="7"/>
      <c r="J11" s="7"/>
      <c r="K11" s="7"/>
      <c r="L11" s="34"/>
      <c r="M11" s="7"/>
      <c r="N11" s="51"/>
      <c r="O11" s="7"/>
      <c r="P11" s="7"/>
      <c r="Q11" s="34"/>
      <c r="R11" s="7"/>
      <c r="S11" s="7"/>
      <c r="T11" s="65"/>
      <c r="U11" s="65"/>
      <c r="V11" s="87"/>
      <c r="W11" s="121"/>
      <c r="X11" s="121"/>
      <c r="Y11" s="121"/>
      <c r="Z11" s="65"/>
      <c r="AA11" s="87"/>
      <c r="AB11" s="65"/>
      <c r="AC11" s="65"/>
      <c r="AD11" s="65"/>
      <c r="AE11" s="65"/>
      <c r="AF11" s="87"/>
      <c r="AG11" s="65"/>
      <c r="AH11" s="87"/>
    </row>
    <row r="12" spans="2:34" x14ac:dyDescent="0.25">
      <c r="B12" s="1" t="s">
        <v>59</v>
      </c>
      <c r="C12" s="7"/>
      <c r="D12" s="7"/>
      <c r="E12" s="7"/>
      <c r="F12" s="7"/>
      <c r="G12" s="34"/>
      <c r="H12" s="7"/>
      <c r="I12" s="7"/>
      <c r="J12" s="7"/>
      <c r="K12" s="7"/>
      <c r="L12" s="34"/>
      <c r="M12" s="7"/>
      <c r="N12" s="51"/>
      <c r="O12" s="7"/>
      <c r="P12" s="7"/>
      <c r="Q12" s="34"/>
      <c r="R12" s="7"/>
      <c r="S12" s="7"/>
      <c r="T12" s="65"/>
      <c r="U12" s="65"/>
      <c r="V12" s="87"/>
      <c r="W12" s="121"/>
      <c r="X12" s="121"/>
      <c r="Y12" s="121"/>
      <c r="Z12" s="65"/>
      <c r="AA12" s="87"/>
      <c r="AB12" s="65"/>
      <c r="AC12" s="65"/>
      <c r="AD12" s="65"/>
      <c r="AE12" s="65"/>
      <c r="AF12" s="87"/>
      <c r="AG12" s="65"/>
      <c r="AH12" s="87"/>
    </row>
    <row r="13" spans="2:34" x14ac:dyDescent="0.25">
      <c r="B13" s="2" t="s">
        <v>60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9">G13-E13-D13-C13</f>
        <v>-414</v>
      </c>
      <c r="G13" s="3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10">L13-J13-I13-H13</f>
        <v>-185</v>
      </c>
      <c r="L13" s="37">
        <v>-701</v>
      </c>
      <c r="M13" s="20">
        <v>-180</v>
      </c>
      <c r="N13" s="29">
        <v>-195</v>
      </c>
      <c r="O13" s="20">
        <v>-168</v>
      </c>
      <c r="P13" s="20">
        <f t="shared" ref="P13:P15" si="11">Q13-O13-N13-M13</f>
        <v>-212</v>
      </c>
      <c r="Q13" s="37">
        <v>-755</v>
      </c>
      <c r="R13" s="20">
        <v>-214</v>
      </c>
      <c r="S13" s="20">
        <f>-219+1</f>
        <v>-218</v>
      </c>
      <c r="T13" s="68">
        <v>-226</v>
      </c>
      <c r="U13" s="68">
        <v>-215</v>
      </c>
      <c r="V13" s="90">
        <v>-873</v>
      </c>
      <c r="W13" s="124">
        <v>-221</v>
      </c>
      <c r="X13" s="124">
        <v>-204</v>
      </c>
      <c r="Y13" s="124">
        <v>-233</v>
      </c>
      <c r="Z13" s="68">
        <v>-231</v>
      </c>
      <c r="AA13" s="90">
        <v>-889</v>
      </c>
      <c r="AB13" s="68">
        <v>-199</v>
      </c>
      <c r="AC13" s="68">
        <v>-226</v>
      </c>
      <c r="AD13" s="68">
        <v>-239</v>
      </c>
      <c r="AE13" s="68">
        <v>-237</v>
      </c>
      <c r="AF13" s="90">
        <v>-901</v>
      </c>
      <c r="AG13" s="68">
        <v>-253</v>
      </c>
      <c r="AH13" s="90">
        <f t="shared" ref="AH13:AH15" si="12">AG13</f>
        <v>-253</v>
      </c>
    </row>
    <row r="14" spans="2:34" x14ac:dyDescent="0.25">
      <c r="B14" s="2" t="s">
        <v>61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9"/>
        <v>-608</v>
      </c>
      <c r="G14" s="3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10"/>
        <v>-570</v>
      </c>
      <c r="L14" s="37">
        <v>-2013</v>
      </c>
      <c r="M14" s="20">
        <v>-464</v>
      </c>
      <c r="N14" s="29">
        <v>-491</v>
      </c>
      <c r="O14" s="20">
        <v>-543</v>
      </c>
      <c r="P14" s="20">
        <f t="shared" si="11"/>
        <v>-639</v>
      </c>
      <c r="Q14" s="37">
        <v>-2137</v>
      </c>
      <c r="R14" s="20">
        <v>-533</v>
      </c>
      <c r="S14" s="20">
        <v>-559</v>
      </c>
      <c r="T14" s="68">
        <v>-614</v>
      </c>
      <c r="U14" s="68">
        <v>-786</v>
      </c>
      <c r="V14" s="90">
        <v>-2492</v>
      </c>
      <c r="W14" s="124">
        <v>-544</v>
      </c>
      <c r="X14" s="124">
        <v>-541</v>
      </c>
      <c r="Y14" s="124">
        <v>-665</v>
      </c>
      <c r="Z14" s="68">
        <v>-753</v>
      </c>
      <c r="AA14" s="90">
        <v>-2503</v>
      </c>
      <c r="AB14" s="68">
        <v>-607</v>
      </c>
      <c r="AC14" s="68">
        <v>-635</v>
      </c>
      <c r="AD14" s="68">
        <v>-694</v>
      </c>
      <c r="AE14" s="68">
        <v>-905</v>
      </c>
      <c r="AF14" s="90">
        <v>-2841</v>
      </c>
      <c r="AG14" s="68">
        <v>-656</v>
      </c>
      <c r="AH14" s="90">
        <f t="shared" si="12"/>
        <v>-656</v>
      </c>
    </row>
    <row r="15" spans="2:34" x14ac:dyDescent="0.25">
      <c r="B15" s="2" t="s">
        <v>62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9"/>
        <v>-2586</v>
      </c>
      <c r="G15" s="3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10"/>
        <v>87</v>
      </c>
      <c r="L15" s="38">
        <v>-553</v>
      </c>
      <c r="M15" s="22">
        <v>-56</v>
      </c>
      <c r="N15" s="51">
        <v>167</v>
      </c>
      <c r="O15" s="22">
        <v>-230</v>
      </c>
      <c r="P15" s="7">
        <f t="shared" si="11"/>
        <v>711</v>
      </c>
      <c r="Q15" s="42">
        <v>592</v>
      </c>
      <c r="R15" s="27">
        <v>6994</v>
      </c>
      <c r="S15" s="22">
        <v>-130</v>
      </c>
      <c r="T15" s="69">
        <v>-735</v>
      </c>
      <c r="U15" s="69">
        <v>-122</v>
      </c>
      <c r="V15" s="91">
        <v>6007</v>
      </c>
      <c r="W15" s="122">
        <v>-2104</v>
      </c>
      <c r="X15" s="122">
        <v>-225</v>
      </c>
      <c r="Y15" s="122">
        <v>-341</v>
      </c>
      <c r="Z15" s="69">
        <v>376</v>
      </c>
      <c r="AA15" s="91">
        <v>-2294</v>
      </c>
      <c r="AB15" s="69">
        <v>412</v>
      </c>
      <c r="AC15" s="69">
        <v>392</v>
      </c>
      <c r="AD15" s="69">
        <v>276</v>
      </c>
      <c r="AE15" s="69">
        <v>-475</v>
      </c>
      <c r="AF15" s="91">
        <v>605</v>
      </c>
      <c r="AG15" s="69">
        <v>1095</v>
      </c>
      <c r="AH15" s="91">
        <f t="shared" si="12"/>
        <v>1095</v>
      </c>
    </row>
    <row r="16" spans="2:34" x14ac:dyDescent="0.25">
      <c r="B16" s="2"/>
      <c r="C16" s="19">
        <f t="shared" ref="C16:R16" si="13">SUM(C12:C15)</f>
        <v>-652</v>
      </c>
      <c r="D16" s="21">
        <f t="shared" si="13"/>
        <v>-1073</v>
      </c>
      <c r="E16" s="21">
        <f t="shared" si="13"/>
        <v>-1013</v>
      </c>
      <c r="F16" s="21">
        <f t="shared" si="13"/>
        <v>-3608</v>
      </c>
      <c r="G16" s="39">
        <f t="shared" si="13"/>
        <v>-6346</v>
      </c>
      <c r="H16" s="21">
        <f t="shared" si="13"/>
        <v>-981</v>
      </c>
      <c r="I16" s="21">
        <f t="shared" si="13"/>
        <v>-523</v>
      </c>
      <c r="J16" s="21">
        <f t="shared" si="13"/>
        <v>-1095</v>
      </c>
      <c r="K16" s="21">
        <f t="shared" si="13"/>
        <v>-668</v>
      </c>
      <c r="L16" s="39">
        <f t="shared" si="13"/>
        <v>-3267</v>
      </c>
      <c r="M16" s="21">
        <f t="shared" si="13"/>
        <v>-700</v>
      </c>
      <c r="N16" s="60">
        <f t="shared" si="13"/>
        <v>-519</v>
      </c>
      <c r="O16" s="21">
        <f t="shared" si="13"/>
        <v>-941</v>
      </c>
      <c r="P16" s="21">
        <f t="shared" si="13"/>
        <v>-140</v>
      </c>
      <c r="Q16" s="39">
        <f t="shared" si="13"/>
        <v>-2300</v>
      </c>
      <c r="R16" s="27">
        <f t="shared" si="13"/>
        <v>6247</v>
      </c>
      <c r="S16" s="21">
        <f t="shared" ref="S16:T16" si="14">SUM(S12:S15)</f>
        <v>-907</v>
      </c>
      <c r="T16" s="70">
        <f t="shared" si="14"/>
        <v>-1575</v>
      </c>
      <c r="U16" s="70">
        <f t="shared" ref="U16" si="15">SUM(U12:U15)</f>
        <v>-1123</v>
      </c>
      <c r="V16" s="92">
        <f>SUM(V12:V15)</f>
        <v>2642</v>
      </c>
      <c r="W16" s="125">
        <f t="shared" ref="W16:X16" si="16">SUM(W12:W15)</f>
        <v>-2869</v>
      </c>
      <c r="X16" s="125">
        <f t="shared" si="16"/>
        <v>-970</v>
      </c>
      <c r="Y16" s="125">
        <f t="shared" ref="Y16:Z16" si="17">SUM(Y12:Y15)</f>
        <v>-1239</v>
      </c>
      <c r="Z16" s="70">
        <f t="shared" si="17"/>
        <v>-608</v>
      </c>
      <c r="AA16" s="92">
        <f t="shared" ref="AA16:AF16" si="18">SUM(AA12:AA15)</f>
        <v>-5686</v>
      </c>
      <c r="AB16" s="70">
        <f t="shared" si="18"/>
        <v>-394</v>
      </c>
      <c r="AC16" s="70">
        <f t="shared" si="18"/>
        <v>-469</v>
      </c>
      <c r="AD16" s="70">
        <f t="shared" si="18"/>
        <v>-657</v>
      </c>
      <c r="AE16" s="70">
        <f t="shared" si="18"/>
        <v>-1617</v>
      </c>
      <c r="AF16" s="92">
        <f t="shared" si="18"/>
        <v>-3137</v>
      </c>
      <c r="AG16" s="70">
        <f t="shared" ref="AG16:AH16" si="19">SUM(AG12:AG15)</f>
        <v>186</v>
      </c>
      <c r="AH16" s="92">
        <f t="shared" si="19"/>
        <v>186</v>
      </c>
    </row>
    <row r="17" spans="2:34" x14ac:dyDescent="0.25">
      <c r="B17" s="12" t="s">
        <v>207</v>
      </c>
      <c r="C17" s="14">
        <f t="shared" ref="C17:R17" si="20">C10+C16</f>
        <v>498</v>
      </c>
      <c r="D17" s="14">
        <f t="shared" si="20"/>
        <v>606</v>
      </c>
      <c r="E17" s="14">
        <f t="shared" si="20"/>
        <v>651</v>
      </c>
      <c r="F17" s="24">
        <f t="shared" si="20"/>
        <v>-2146</v>
      </c>
      <c r="G17" s="40">
        <f t="shared" si="20"/>
        <v>-391</v>
      </c>
      <c r="H17" s="24">
        <f t="shared" si="20"/>
        <v>-16</v>
      </c>
      <c r="I17" s="14">
        <f t="shared" si="20"/>
        <v>751</v>
      </c>
      <c r="J17" s="14">
        <f t="shared" si="20"/>
        <v>602</v>
      </c>
      <c r="K17" s="14">
        <f t="shared" si="20"/>
        <v>1024</v>
      </c>
      <c r="L17" s="47">
        <f t="shared" si="20"/>
        <v>2361</v>
      </c>
      <c r="M17" s="14">
        <f t="shared" si="20"/>
        <v>502</v>
      </c>
      <c r="N17" s="56">
        <f t="shared" si="20"/>
        <v>1062</v>
      </c>
      <c r="O17" s="14">
        <f t="shared" si="20"/>
        <v>765</v>
      </c>
      <c r="P17" s="14">
        <f t="shared" si="20"/>
        <v>1273</v>
      </c>
      <c r="Q17" s="47">
        <f t="shared" si="20"/>
        <v>3602</v>
      </c>
      <c r="R17" s="14">
        <f t="shared" si="20"/>
        <v>7129</v>
      </c>
      <c r="S17" s="14">
        <f t="shared" ref="S17:W17" si="21">S10+S16</f>
        <v>511</v>
      </c>
      <c r="T17" s="71">
        <f t="shared" si="21"/>
        <v>-237</v>
      </c>
      <c r="U17" s="71">
        <f t="shared" ref="U17" si="22">U10+U16</f>
        <v>334</v>
      </c>
      <c r="V17" s="93">
        <f t="shared" si="21"/>
        <v>7737</v>
      </c>
      <c r="W17" s="126">
        <f t="shared" si="21"/>
        <v>-2121</v>
      </c>
      <c r="X17" s="126">
        <f t="shared" ref="X17:Z17" si="23">X10+X16</f>
        <v>50</v>
      </c>
      <c r="Y17" s="126">
        <f t="shared" si="23"/>
        <v>1324</v>
      </c>
      <c r="Z17" s="71">
        <f t="shared" si="23"/>
        <v>2020</v>
      </c>
      <c r="AA17" s="93">
        <f t="shared" ref="AA17:AD17" si="24">AA10+AA16</f>
        <v>1273</v>
      </c>
      <c r="AB17" s="71">
        <f t="shared" si="24"/>
        <v>2098</v>
      </c>
      <c r="AC17" s="71">
        <f t="shared" si="24"/>
        <v>2697</v>
      </c>
      <c r="AD17" s="71">
        <f t="shared" si="24"/>
        <v>2273</v>
      </c>
      <c r="AE17" s="71">
        <f t="shared" ref="AE17:AG17" si="25">AE10+AE16</f>
        <v>869</v>
      </c>
      <c r="AF17" s="93">
        <f t="shared" si="25"/>
        <v>7937</v>
      </c>
      <c r="AG17" s="71">
        <f t="shared" si="25"/>
        <v>2392</v>
      </c>
      <c r="AH17" s="93">
        <f t="shared" ref="AH17" si="26">AH10+AH16</f>
        <v>2392</v>
      </c>
    </row>
    <row r="18" spans="2:34" x14ac:dyDescent="0.25">
      <c r="B18" s="2"/>
      <c r="C18" s="11"/>
      <c r="D18" s="11"/>
      <c r="E18" s="11"/>
      <c r="F18" s="11"/>
      <c r="G18" s="41"/>
      <c r="H18" s="11"/>
      <c r="I18" s="11"/>
      <c r="J18" s="11"/>
      <c r="K18" s="11"/>
      <c r="L18" s="41"/>
      <c r="M18" s="11"/>
      <c r="N18" s="61"/>
      <c r="O18" s="11"/>
      <c r="P18" s="11"/>
      <c r="Q18" s="41"/>
      <c r="R18" s="11"/>
      <c r="S18" s="11"/>
      <c r="T18" s="72"/>
      <c r="U18" s="72"/>
      <c r="V18" s="94"/>
      <c r="W18" s="127"/>
      <c r="X18" s="127"/>
      <c r="Y18" s="127"/>
      <c r="Z18" s="72"/>
      <c r="AA18" s="94"/>
      <c r="AB18" s="72"/>
      <c r="AC18" s="72"/>
      <c r="AD18" s="72"/>
      <c r="AE18" s="72"/>
      <c r="AF18" s="94"/>
      <c r="AG18" s="72"/>
      <c r="AH18" s="94"/>
    </row>
    <row r="19" spans="2:34" x14ac:dyDescent="0.25">
      <c r="B19" s="1" t="s">
        <v>63</v>
      </c>
      <c r="C19" s="7"/>
      <c r="D19" s="7"/>
      <c r="E19" s="7"/>
      <c r="F19" s="7"/>
      <c r="G19" s="34"/>
      <c r="H19" s="7"/>
      <c r="I19" s="7"/>
      <c r="J19" s="7"/>
      <c r="K19" s="7"/>
      <c r="L19" s="34"/>
      <c r="M19" s="7"/>
      <c r="N19" s="51"/>
      <c r="O19" s="7"/>
      <c r="P19" s="7"/>
      <c r="Q19" s="34"/>
      <c r="R19" s="7"/>
      <c r="S19" s="7"/>
      <c r="T19" s="65"/>
      <c r="U19" s="65"/>
      <c r="V19" s="87"/>
      <c r="W19" s="121"/>
      <c r="X19" s="121"/>
      <c r="Y19" s="121"/>
      <c r="Z19" s="65"/>
      <c r="AA19" s="87"/>
      <c r="AB19" s="65"/>
      <c r="AC19" s="65"/>
      <c r="AD19" s="65"/>
      <c r="AE19" s="65"/>
      <c r="AF19" s="87"/>
      <c r="AG19" s="65"/>
      <c r="AH19" s="87"/>
    </row>
    <row r="20" spans="2:34" x14ac:dyDescent="0.25">
      <c r="B20" s="2" t="s">
        <v>64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27">G20-E20-D20-C20</f>
        <v>166</v>
      </c>
      <c r="G20" s="3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8">L20-J20-I20-H20</f>
        <v>288</v>
      </c>
      <c r="L20" s="34">
        <v>1219</v>
      </c>
      <c r="M20" s="7">
        <v>389</v>
      </c>
      <c r="N20" s="51">
        <v>115</v>
      </c>
      <c r="O20" s="7">
        <f>562-N20-M20</f>
        <v>58</v>
      </c>
      <c r="P20" s="7">
        <f t="shared" ref="P20:P22" si="29">Q20-O20-N20-M20</f>
        <v>556</v>
      </c>
      <c r="Q20" s="34">
        <v>1118</v>
      </c>
      <c r="R20" s="7">
        <v>89</v>
      </c>
      <c r="S20" s="7">
        <v>215</v>
      </c>
      <c r="T20" s="65">
        <v>41</v>
      </c>
      <c r="U20" s="65">
        <v>574</v>
      </c>
      <c r="V20" s="87">
        <v>919</v>
      </c>
      <c r="W20" s="121">
        <v>-133</v>
      </c>
      <c r="X20" s="121">
        <v>-79</v>
      </c>
      <c r="Y20" s="121">
        <v>238</v>
      </c>
      <c r="Z20" s="65">
        <v>701</v>
      </c>
      <c r="AA20" s="87">
        <v>727</v>
      </c>
      <c r="AB20" s="65">
        <v>97</v>
      </c>
      <c r="AC20" s="65">
        <v>369</v>
      </c>
      <c r="AD20" s="65">
        <v>-150</v>
      </c>
      <c r="AE20" s="65">
        <v>269</v>
      </c>
      <c r="AF20" s="87">
        <v>585</v>
      </c>
      <c r="AG20" s="65">
        <v>216</v>
      </c>
      <c r="AH20" s="87">
        <f t="shared" ref="AH20:AH22" si="30">AG20</f>
        <v>216</v>
      </c>
    </row>
    <row r="21" spans="2:34" x14ac:dyDescent="0.25">
      <c r="B21" s="2" t="s">
        <v>65</v>
      </c>
      <c r="C21" s="7">
        <v>0</v>
      </c>
      <c r="D21" s="7">
        <v>0</v>
      </c>
      <c r="E21" s="7">
        <v>0</v>
      </c>
      <c r="F21" s="7">
        <f t="shared" si="27"/>
        <v>0</v>
      </c>
      <c r="G21" s="34">
        <v>0</v>
      </c>
      <c r="H21" s="7">
        <v>0</v>
      </c>
      <c r="I21" s="7">
        <v>0</v>
      </c>
      <c r="J21" s="7">
        <v>0</v>
      </c>
      <c r="K21" s="7">
        <f t="shared" si="28"/>
        <v>0</v>
      </c>
      <c r="L21" s="34">
        <v>0</v>
      </c>
      <c r="M21" s="7">
        <v>0</v>
      </c>
      <c r="N21" s="51">
        <v>0</v>
      </c>
      <c r="O21" s="7">
        <v>0</v>
      </c>
      <c r="P21" s="7">
        <f t="shared" si="29"/>
        <v>820</v>
      </c>
      <c r="Q21" s="34">
        <v>820</v>
      </c>
      <c r="R21" s="7">
        <v>0</v>
      </c>
      <c r="S21" s="7">
        <v>0</v>
      </c>
      <c r="T21" s="65">
        <v>0</v>
      </c>
      <c r="U21" s="65">
        <v>0</v>
      </c>
      <c r="V21" s="34">
        <v>0</v>
      </c>
      <c r="W21" s="121">
        <v>0</v>
      </c>
      <c r="X21" s="121">
        <v>0</v>
      </c>
      <c r="Y21" s="121">
        <v>0</v>
      </c>
      <c r="Z21" s="65">
        <v>0</v>
      </c>
      <c r="AA21" s="34">
        <v>0</v>
      </c>
      <c r="AB21" s="65">
        <v>0</v>
      </c>
      <c r="AC21" s="65">
        <v>0</v>
      </c>
      <c r="AD21" s="65">
        <v>0</v>
      </c>
      <c r="AE21" s="65">
        <v>0</v>
      </c>
      <c r="AF21" s="34">
        <v>0</v>
      </c>
      <c r="AG21" s="65">
        <v>0</v>
      </c>
      <c r="AH21" s="34">
        <f t="shared" si="30"/>
        <v>0</v>
      </c>
    </row>
    <row r="22" spans="2:34" x14ac:dyDescent="0.25">
      <c r="B22" s="2" t="s">
        <v>66</v>
      </c>
      <c r="C22" s="8">
        <v>44</v>
      </c>
      <c r="D22" s="8">
        <f>44-C22</f>
        <v>0</v>
      </c>
      <c r="E22" s="8">
        <v>0</v>
      </c>
      <c r="F22" s="8">
        <f t="shared" si="27"/>
        <v>0</v>
      </c>
      <c r="G22" s="4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28"/>
        <v>0</v>
      </c>
      <c r="L22" s="42">
        <v>3</v>
      </c>
      <c r="M22" s="8">
        <v>0</v>
      </c>
      <c r="N22" s="62">
        <f>0-M22</f>
        <v>0</v>
      </c>
      <c r="O22" s="8">
        <f>0-N22-M22</f>
        <v>0</v>
      </c>
      <c r="P22" s="8">
        <f t="shared" si="29"/>
        <v>4</v>
      </c>
      <c r="Q22" s="42">
        <v>4</v>
      </c>
      <c r="R22" s="8">
        <v>0</v>
      </c>
      <c r="S22" s="8">
        <v>108</v>
      </c>
      <c r="T22" s="69">
        <v>0</v>
      </c>
      <c r="U22" s="69">
        <v>0</v>
      </c>
      <c r="V22" s="91">
        <v>108</v>
      </c>
      <c r="W22" s="125">
        <v>0</v>
      </c>
      <c r="X22" s="125">
        <v>0</v>
      </c>
      <c r="Y22" s="125">
        <v>0</v>
      </c>
      <c r="Z22" s="69">
        <v>0</v>
      </c>
      <c r="AA22" s="131">
        <v>0</v>
      </c>
      <c r="AB22" s="69">
        <v>0</v>
      </c>
      <c r="AC22" s="69">
        <v>0</v>
      </c>
      <c r="AD22" s="69">
        <v>20</v>
      </c>
      <c r="AE22" s="69">
        <v>0</v>
      </c>
      <c r="AF22" s="131">
        <v>20</v>
      </c>
      <c r="AG22" s="69">
        <v>0</v>
      </c>
      <c r="AH22" s="131">
        <f t="shared" si="30"/>
        <v>0</v>
      </c>
    </row>
    <row r="23" spans="2:34" x14ac:dyDescent="0.25">
      <c r="B23" s="2"/>
      <c r="C23" s="9">
        <f t="shared" ref="C23:R23" si="31">SUM(C20:C22)</f>
        <v>335</v>
      </c>
      <c r="D23" s="9">
        <f t="shared" si="31"/>
        <v>295</v>
      </c>
      <c r="E23" s="23">
        <f t="shared" si="31"/>
        <v>-28</v>
      </c>
      <c r="F23" s="9">
        <f t="shared" si="31"/>
        <v>166</v>
      </c>
      <c r="G23" s="43">
        <f t="shared" si="31"/>
        <v>768</v>
      </c>
      <c r="H23" s="9">
        <f t="shared" si="31"/>
        <v>138</v>
      </c>
      <c r="I23" s="9">
        <f t="shared" si="31"/>
        <v>349</v>
      </c>
      <c r="J23" s="9">
        <f t="shared" si="31"/>
        <v>447</v>
      </c>
      <c r="K23" s="9">
        <f t="shared" si="31"/>
        <v>288</v>
      </c>
      <c r="L23" s="43">
        <f t="shared" si="31"/>
        <v>1222</v>
      </c>
      <c r="M23" s="9">
        <f t="shared" si="31"/>
        <v>389</v>
      </c>
      <c r="N23" s="55">
        <f t="shared" si="31"/>
        <v>115</v>
      </c>
      <c r="O23" s="9">
        <f t="shared" si="31"/>
        <v>58</v>
      </c>
      <c r="P23" s="9">
        <f t="shared" si="31"/>
        <v>1380</v>
      </c>
      <c r="Q23" s="43">
        <f t="shared" si="31"/>
        <v>1942</v>
      </c>
      <c r="R23" s="9">
        <f t="shared" si="31"/>
        <v>89</v>
      </c>
      <c r="S23" s="9">
        <f t="shared" ref="S23:U23" si="32">SUM(S20:S22)</f>
        <v>323</v>
      </c>
      <c r="T23" s="68">
        <f t="shared" si="32"/>
        <v>41</v>
      </c>
      <c r="U23" s="68">
        <f t="shared" si="32"/>
        <v>574</v>
      </c>
      <c r="V23" s="90">
        <f t="shared" ref="V23" si="33">SUM(V20:V22)</f>
        <v>1027</v>
      </c>
      <c r="W23" s="124">
        <f t="shared" ref="W23:X23" si="34">SUM(W20:W22)</f>
        <v>-133</v>
      </c>
      <c r="X23" s="124">
        <f t="shared" si="34"/>
        <v>-79</v>
      </c>
      <c r="Y23" s="124">
        <f t="shared" ref="Y23:AA23" si="35">SUM(Y20:Y22)</f>
        <v>238</v>
      </c>
      <c r="Z23" s="68">
        <f t="shared" si="35"/>
        <v>701</v>
      </c>
      <c r="AA23" s="90">
        <f t="shared" si="35"/>
        <v>727</v>
      </c>
      <c r="AB23" s="68">
        <f t="shared" ref="AB23:AF23" si="36">SUM(AB20:AB22)</f>
        <v>97</v>
      </c>
      <c r="AC23" s="68">
        <f t="shared" ref="AC23:AD23" si="37">SUM(AC20:AC22)</f>
        <v>369</v>
      </c>
      <c r="AD23" s="68">
        <f t="shared" si="37"/>
        <v>-130</v>
      </c>
      <c r="AE23" s="68">
        <f t="shared" si="36"/>
        <v>269</v>
      </c>
      <c r="AF23" s="90">
        <f t="shared" si="36"/>
        <v>605</v>
      </c>
      <c r="AG23" s="68">
        <f t="shared" ref="AG23:AH23" si="38">SUM(AG20:AG22)</f>
        <v>216</v>
      </c>
      <c r="AH23" s="90">
        <f t="shared" si="38"/>
        <v>216</v>
      </c>
    </row>
    <row r="24" spans="2:34" x14ac:dyDescent="0.25">
      <c r="B24" s="1" t="s">
        <v>67</v>
      </c>
      <c r="C24" s="7"/>
      <c r="D24" s="7"/>
      <c r="E24" s="7"/>
      <c r="F24" s="7"/>
      <c r="G24" s="34"/>
      <c r="H24" s="7"/>
      <c r="I24" s="7"/>
      <c r="J24" s="7"/>
      <c r="K24" s="7"/>
      <c r="L24" s="34"/>
      <c r="M24" s="7"/>
      <c r="N24" s="51"/>
      <c r="O24" s="7"/>
      <c r="P24" s="7"/>
      <c r="Q24" s="34"/>
      <c r="R24" s="7"/>
      <c r="S24" s="7"/>
      <c r="T24" s="65"/>
      <c r="U24" s="65"/>
      <c r="V24" s="87"/>
      <c r="W24" s="121"/>
      <c r="X24" s="121"/>
      <c r="Y24" s="121"/>
      <c r="Z24" s="65"/>
      <c r="AA24" s="87"/>
      <c r="AB24" s="65"/>
      <c r="AC24" s="65"/>
      <c r="AD24" s="65"/>
      <c r="AE24" s="65"/>
      <c r="AF24" s="87"/>
      <c r="AG24" s="65"/>
      <c r="AH24" s="87"/>
    </row>
    <row r="25" spans="2:34" x14ac:dyDescent="0.25">
      <c r="B25" s="2" t="s">
        <v>68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9">G25-E25-D25-C25</f>
        <v>290</v>
      </c>
      <c r="G25" s="3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40">L25-J25-I25-H25</f>
        <v>181</v>
      </c>
      <c r="L25" s="34">
        <v>1153</v>
      </c>
      <c r="M25" s="7">
        <v>226</v>
      </c>
      <c r="N25" s="51">
        <v>211</v>
      </c>
      <c r="O25" s="7">
        <v>236</v>
      </c>
      <c r="P25" s="7">
        <f t="shared" ref="P25:P28" si="41">Q25-O25-N25-M25</f>
        <v>584</v>
      </c>
      <c r="Q25" s="34">
        <v>1257</v>
      </c>
      <c r="R25" s="7">
        <v>411</v>
      </c>
      <c r="S25" s="7">
        <v>233</v>
      </c>
      <c r="T25" s="65">
        <v>212</v>
      </c>
      <c r="U25" s="65">
        <v>413</v>
      </c>
      <c r="V25" s="87">
        <v>1269</v>
      </c>
      <c r="W25" s="121">
        <v>170</v>
      </c>
      <c r="X25" s="121">
        <v>236</v>
      </c>
      <c r="Y25" s="121">
        <v>126</v>
      </c>
      <c r="Z25" s="65">
        <v>128</v>
      </c>
      <c r="AA25" s="87">
        <v>660</v>
      </c>
      <c r="AB25" s="65">
        <v>194</v>
      </c>
      <c r="AC25" s="65">
        <v>106</v>
      </c>
      <c r="AD25" s="65">
        <v>282</v>
      </c>
      <c r="AE25" s="65">
        <v>326</v>
      </c>
      <c r="AF25" s="87">
        <v>908</v>
      </c>
      <c r="AG25" s="65">
        <v>332</v>
      </c>
      <c r="AH25" s="87">
        <f t="shared" ref="AH25:AH28" si="42">AG25</f>
        <v>332</v>
      </c>
    </row>
    <row r="26" spans="2:34" x14ac:dyDescent="0.25">
      <c r="B26" s="2" t="s">
        <v>69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39"/>
        <v>-632</v>
      </c>
      <c r="G26" s="3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40"/>
        <v>-715</v>
      </c>
      <c r="L26" s="37">
        <v>-2705</v>
      </c>
      <c r="M26" s="20">
        <v>-555</v>
      </c>
      <c r="N26" s="29">
        <v>-716</v>
      </c>
      <c r="O26" s="20">
        <v>-660</v>
      </c>
      <c r="P26" s="20">
        <f t="shared" si="41"/>
        <v>-598</v>
      </c>
      <c r="Q26" s="37">
        <v>-2529</v>
      </c>
      <c r="R26" s="20">
        <v>-787</v>
      </c>
      <c r="S26" s="20">
        <v>-667</v>
      </c>
      <c r="T26" s="68">
        <v>-475</v>
      </c>
      <c r="U26" s="68">
        <v>-585</v>
      </c>
      <c r="V26" s="90">
        <v>-2514</v>
      </c>
      <c r="W26" s="124">
        <v>-570</v>
      </c>
      <c r="X26" s="124">
        <v>-661</v>
      </c>
      <c r="Y26" s="124">
        <v>-817</v>
      </c>
      <c r="Z26" s="68">
        <v>-931</v>
      </c>
      <c r="AA26" s="90">
        <v>-2979</v>
      </c>
      <c r="AB26" s="68">
        <v>-622</v>
      </c>
      <c r="AC26" s="68">
        <v>-703</v>
      </c>
      <c r="AD26" s="68">
        <v>-743</v>
      </c>
      <c r="AE26" s="68">
        <v>-946</v>
      </c>
      <c r="AF26" s="90">
        <v>-3014</v>
      </c>
      <c r="AG26" s="68">
        <v>-941</v>
      </c>
      <c r="AH26" s="90">
        <f t="shared" si="42"/>
        <v>-941</v>
      </c>
    </row>
    <row r="27" spans="2:34" x14ac:dyDescent="0.25">
      <c r="B27" s="2" t="s">
        <v>70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39"/>
        <v>-87</v>
      </c>
      <c r="G27" s="3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40"/>
        <v>47</v>
      </c>
      <c r="L27" s="37">
        <v>-213</v>
      </c>
      <c r="M27" s="20">
        <v>-3</v>
      </c>
      <c r="N27" s="51">
        <v>264</v>
      </c>
      <c r="O27" s="7">
        <v>45</v>
      </c>
      <c r="P27" s="20">
        <f t="shared" si="41"/>
        <v>-98</v>
      </c>
      <c r="Q27" s="34">
        <v>208</v>
      </c>
      <c r="R27" s="20">
        <v>-59</v>
      </c>
      <c r="S27" s="20">
        <v>-100</v>
      </c>
      <c r="T27" s="68">
        <v>49</v>
      </c>
      <c r="U27" s="68">
        <v>-125</v>
      </c>
      <c r="V27" s="87">
        <v>-235</v>
      </c>
      <c r="W27" s="124">
        <v>-19</v>
      </c>
      <c r="X27" s="124">
        <v>26</v>
      </c>
      <c r="Y27" s="124">
        <v>-140</v>
      </c>
      <c r="Z27" s="68">
        <v>12</v>
      </c>
      <c r="AA27" s="87">
        <v>-121</v>
      </c>
      <c r="AB27" s="68">
        <v>263</v>
      </c>
      <c r="AC27" s="68">
        <v>211</v>
      </c>
      <c r="AD27" s="68">
        <v>102</v>
      </c>
      <c r="AE27" s="68">
        <v>3810</v>
      </c>
      <c r="AF27" s="87">
        <v>4386</v>
      </c>
      <c r="AG27" s="68">
        <v>-96</v>
      </c>
      <c r="AH27" s="87">
        <f t="shared" si="42"/>
        <v>-96</v>
      </c>
    </row>
    <row r="28" spans="2:34" x14ac:dyDescent="0.25">
      <c r="B28" s="2" t="s">
        <v>71</v>
      </c>
      <c r="C28" s="8">
        <v>244</v>
      </c>
      <c r="D28" s="8">
        <f>470-C28</f>
        <v>226</v>
      </c>
      <c r="E28" s="22">
        <f>453-D28-C28</f>
        <v>-17</v>
      </c>
      <c r="F28" s="8">
        <f t="shared" si="39"/>
        <v>82</v>
      </c>
      <c r="G28" s="4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40"/>
        <v>-828</v>
      </c>
      <c r="L28" s="38">
        <v>-724</v>
      </c>
      <c r="M28" s="22">
        <v>-57</v>
      </c>
      <c r="N28" s="63">
        <f>-717-M28</f>
        <v>-660</v>
      </c>
      <c r="O28" s="22">
        <v>-245</v>
      </c>
      <c r="P28" s="22">
        <f t="shared" si="41"/>
        <v>-14</v>
      </c>
      <c r="Q28" s="38">
        <v>-976</v>
      </c>
      <c r="R28" s="22">
        <v>-19</v>
      </c>
      <c r="S28" s="8">
        <v>59</v>
      </c>
      <c r="T28" s="69">
        <v>-238</v>
      </c>
      <c r="U28" s="69">
        <v>61</v>
      </c>
      <c r="V28" s="91">
        <v>-137</v>
      </c>
      <c r="W28" s="125">
        <v>-1098</v>
      </c>
      <c r="X28" s="125">
        <v>-159</v>
      </c>
      <c r="Y28" s="125">
        <v>-148</v>
      </c>
      <c r="Z28" s="69">
        <v>378</v>
      </c>
      <c r="AA28" s="91">
        <v>-1027</v>
      </c>
      <c r="AB28" s="69">
        <v>-356</v>
      </c>
      <c r="AC28" s="69">
        <v>505</v>
      </c>
      <c r="AD28" s="69">
        <v>-367</v>
      </c>
      <c r="AE28" s="69">
        <v>-287</v>
      </c>
      <c r="AF28" s="91">
        <v>-505</v>
      </c>
      <c r="AG28" s="69">
        <v>497</v>
      </c>
      <c r="AH28" s="91">
        <f t="shared" si="42"/>
        <v>497</v>
      </c>
    </row>
    <row r="29" spans="2:34" x14ac:dyDescent="0.25">
      <c r="B29" s="2"/>
      <c r="C29" s="19">
        <f t="shared" ref="C29:R29" si="43">SUM(C25:C28)</f>
        <v>-468</v>
      </c>
      <c r="D29" s="19">
        <f t="shared" si="43"/>
        <v>-567</v>
      </c>
      <c r="E29" s="19">
        <f t="shared" si="43"/>
        <v>-335</v>
      </c>
      <c r="F29" s="19">
        <f t="shared" si="43"/>
        <v>-347</v>
      </c>
      <c r="G29" s="35">
        <f t="shared" si="43"/>
        <v>-1717</v>
      </c>
      <c r="H29" s="19">
        <f t="shared" si="43"/>
        <v>-479</v>
      </c>
      <c r="I29" s="19">
        <f t="shared" si="43"/>
        <v>-197</v>
      </c>
      <c r="J29" s="19">
        <f t="shared" si="43"/>
        <v>-498</v>
      </c>
      <c r="K29" s="19">
        <f t="shared" si="43"/>
        <v>-1315</v>
      </c>
      <c r="L29" s="35">
        <f t="shared" si="43"/>
        <v>-2489</v>
      </c>
      <c r="M29" s="19">
        <f t="shared" si="43"/>
        <v>-389</v>
      </c>
      <c r="N29" s="57">
        <f t="shared" si="43"/>
        <v>-901</v>
      </c>
      <c r="O29" s="19">
        <f t="shared" si="43"/>
        <v>-624</v>
      </c>
      <c r="P29" s="19">
        <f t="shared" si="43"/>
        <v>-126</v>
      </c>
      <c r="Q29" s="35">
        <f t="shared" si="43"/>
        <v>-2040</v>
      </c>
      <c r="R29" s="19">
        <f t="shared" si="43"/>
        <v>-454</v>
      </c>
      <c r="S29" s="19">
        <f t="shared" ref="S29:T29" si="44">SUM(S25:S28)</f>
        <v>-475</v>
      </c>
      <c r="T29" s="66">
        <f t="shared" si="44"/>
        <v>-452</v>
      </c>
      <c r="U29" s="66">
        <f t="shared" ref="U29" si="45">SUM(U25:U28)</f>
        <v>-236</v>
      </c>
      <c r="V29" s="88">
        <f t="shared" ref="V29" si="46">SUM(V25:V28)</f>
        <v>-1617</v>
      </c>
      <c r="W29" s="122">
        <f t="shared" ref="W29:X29" si="47">SUM(W25:W28)</f>
        <v>-1517</v>
      </c>
      <c r="X29" s="122">
        <f t="shared" si="47"/>
        <v>-558</v>
      </c>
      <c r="Y29" s="122">
        <f t="shared" ref="Y29:AA29" si="48">SUM(Y25:Y28)</f>
        <v>-979</v>
      </c>
      <c r="Z29" s="66">
        <f t="shared" si="48"/>
        <v>-413</v>
      </c>
      <c r="AA29" s="88">
        <f t="shared" si="48"/>
        <v>-3467</v>
      </c>
      <c r="AB29" s="66">
        <f t="shared" ref="AB29:AF29" si="49">SUM(AB25:AB28)</f>
        <v>-521</v>
      </c>
      <c r="AC29" s="66">
        <f t="shared" ref="AC29:AD29" si="50">SUM(AC25:AC28)</f>
        <v>119</v>
      </c>
      <c r="AD29" s="66">
        <f t="shared" si="50"/>
        <v>-726</v>
      </c>
      <c r="AE29" s="66">
        <f t="shared" si="49"/>
        <v>2903</v>
      </c>
      <c r="AF29" s="88">
        <f t="shared" si="49"/>
        <v>1775</v>
      </c>
      <c r="AG29" s="66">
        <f t="shared" ref="AG29:AH29" si="51">SUM(AG25:AG28)</f>
        <v>-208</v>
      </c>
      <c r="AH29" s="88">
        <f t="shared" si="51"/>
        <v>-208</v>
      </c>
    </row>
    <row r="30" spans="2:34" x14ac:dyDescent="0.25">
      <c r="B30" s="12" t="s">
        <v>208</v>
      </c>
      <c r="C30" s="14">
        <f t="shared" ref="C30:R30" si="52">C17+C23+C29</f>
        <v>365</v>
      </c>
      <c r="D30" s="14">
        <f t="shared" si="52"/>
        <v>334</v>
      </c>
      <c r="E30" s="14">
        <f t="shared" si="52"/>
        <v>288</v>
      </c>
      <c r="F30" s="24">
        <f t="shared" si="52"/>
        <v>-2327</v>
      </c>
      <c r="G30" s="40">
        <f t="shared" si="52"/>
        <v>-1340</v>
      </c>
      <c r="H30" s="24">
        <f t="shared" si="52"/>
        <v>-357</v>
      </c>
      <c r="I30" s="14">
        <f t="shared" si="52"/>
        <v>903</v>
      </c>
      <c r="J30" s="14">
        <f t="shared" si="52"/>
        <v>551</v>
      </c>
      <c r="K30" s="25">
        <f t="shared" si="52"/>
        <v>-3</v>
      </c>
      <c r="L30" s="47">
        <f t="shared" si="52"/>
        <v>1094</v>
      </c>
      <c r="M30" s="14">
        <f t="shared" si="52"/>
        <v>502</v>
      </c>
      <c r="N30" s="56">
        <f t="shared" si="52"/>
        <v>276</v>
      </c>
      <c r="O30" s="14">
        <f t="shared" si="52"/>
        <v>199</v>
      </c>
      <c r="P30" s="14">
        <f t="shared" si="52"/>
        <v>2527</v>
      </c>
      <c r="Q30" s="47">
        <f t="shared" si="52"/>
        <v>3504</v>
      </c>
      <c r="R30" s="14">
        <f t="shared" si="52"/>
        <v>6764</v>
      </c>
      <c r="S30" s="14">
        <f t="shared" ref="S30:W30" si="53">S17+S23+S29</f>
        <v>359</v>
      </c>
      <c r="T30" s="71">
        <f t="shared" si="53"/>
        <v>-648</v>
      </c>
      <c r="U30" s="71">
        <f t="shared" ref="U30" si="54">U17+U23+U29</f>
        <v>672</v>
      </c>
      <c r="V30" s="93">
        <f t="shared" si="53"/>
        <v>7147</v>
      </c>
      <c r="W30" s="126">
        <f t="shared" si="53"/>
        <v>-3771</v>
      </c>
      <c r="X30" s="126">
        <f t="shared" ref="X30:Z30" si="55">X17+X23+X29</f>
        <v>-587</v>
      </c>
      <c r="Y30" s="126">
        <f t="shared" si="55"/>
        <v>583</v>
      </c>
      <c r="Z30" s="71">
        <f t="shared" si="55"/>
        <v>2308</v>
      </c>
      <c r="AA30" s="93">
        <f t="shared" ref="AA30:AD30" si="56">AA17+AA23+AA29</f>
        <v>-1467</v>
      </c>
      <c r="AB30" s="71">
        <f t="shared" si="56"/>
        <v>1674</v>
      </c>
      <c r="AC30" s="71">
        <f t="shared" si="56"/>
        <v>3185</v>
      </c>
      <c r="AD30" s="71">
        <f t="shared" si="56"/>
        <v>1417</v>
      </c>
      <c r="AE30" s="71">
        <f t="shared" ref="AE30:AG30" si="57">AE17+AE23+AE29</f>
        <v>4041</v>
      </c>
      <c r="AF30" s="93">
        <f t="shared" si="57"/>
        <v>10317</v>
      </c>
      <c r="AG30" s="71">
        <f t="shared" si="57"/>
        <v>2400</v>
      </c>
      <c r="AH30" s="93">
        <f t="shared" ref="AH30" si="58">AH17+AH23+AH29</f>
        <v>2400</v>
      </c>
    </row>
    <row r="31" spans="2:34" x14ac:dyDescent="0.25">
      <c r="B31" s="2"/>
      <c r="C31" s="7"/>
      <c r="D31" s="7"/>
      <c r="E31" s="7"/>
      <c r="F31" s="7"/>
      <c r="G31" s="34"/>
      <c r="H31" s="7"/>
      <c r="I31" s="7"/>
      <c r="J31" s="7"/>
      <c r="K31" s="7"/>
      <c r="L31" s="34"/>
      <c r="M31" s="7"/>
      <c r="N31" s="51"/>
      <c r="O31" s="7"/>
      <c r="P31" s="7"/>
      <c r="Q31" s="34"/>
      <c r="R31" s="7"/>
      <c r="S31" s="7"/>
      <c r="T31" s="65"/>
      <c r="U31" s="65"/>
      <c r="V31" s="87"/>
      <c r="W31" s="121"/>
      <c r="X31" s="121"/>
      <c r="Y31" s="121"/>
      <c r="Z31" s="65"/>
      <c r="AA31" s="87"/>
      <c r="AB31" s="65"/>
      <c r="AC31" s="65"/>
      <c r="AD31" s="65"/>
      <c r="AE31" s="65"/>
      <c r="AF31" s="87"/>
      <c r="AG31" s="65"/>
      <c r="AH31" s="87"/>
    </row>
    <row r="32" spans="2:34" x14ac:dyDescent="0.25">
      <c r="B32" s="1" t="s">
        <v>72</v>
      </c>
      <c r="C32" s="7"/>
      <c r="D32" s="7"/>
      <c r="E32" s="7"/>
      <c r="F32" s="7"/>
      <c r="G32" s="34"/>
      <c r="H32" s="7"/>
      <c r="I32" s="7"/>
      <c r="J32" s="7"/>
      <c r="K32" s="7"/>
      <c r="L32" s="34"/>
      <c r="M32" s="7"/>
      <c r="N32" s="51"/>
      <c r="O32" s="7"/>
      <c r="P32" s="7"/>
      <c r="Q32" s="34"/>
      <c r="R32" s="7"/>
      <c r="S32" s="7"/>
      <c r="T32" s="65"/>
      <c r="U32" s="65"/>
      <c r="V32" s="87"/>
      <c r="W32" s="121"/>
      <c r="X32" s="121"/>
      <c r="Y32" s="121"/>
      <c r="Z32" s="65"/>
      <c r="AA32" s="87"/>
      <c r="AB32" s="65"/>
      <c r="AC32" s="65"/>
      <c r="AD32" s="65"/>
      <c r="AE32" s="65"/>
      <c r="AF32" s="87"/>
      <c r="AG32" s="65"/>
      <c r="AH32" s="87"/>
    </row>
    <row r="33" spans="1:34" x14ac:dyDescent="0.25">
      <c r="B33" s="2" t="s">
        <v>73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59">G33-E33-D33-C33</f>
        <v>7</v>
      </c>
      <c r="G33" s="3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60">L33-J33-I33-H33</f>
        <v>-240</v>
      </c>
      <c r="L33" s="37">
        <v>-722</v>
      </c>
      <c r="M33" s="20">
        <v>-201</v>
      </c>
      <c r="N33" s="29">
        <v>-86</v>
      </c>
      <c r="O33" s="20">
        <v>-109</v>
      </c>
      <c r="P33" s="20">
        <f t="shared" ref="P33:P34" si="61">Q33-O33-N33-M33</f>
        <v>-59</v>
      </c>
      <c r="Q33" s="37">
        <v>-455</v>
      </c>
      <c r="R33" s="20">
        <v>-1251</v>
      </c>
      <c r="S33" s="20">
        <v>-45</v>
      </c>
      <c r="T33" s="68">
        <v>-130</v>
      </c>
      <c r="U33" s="68">
        <v>-35</v>
      </c>
      <c r="V33" s="90">
        <v>-1461</v>
      </c>
      <c r="W33" s="124">
        <v>-137</v>
      </c>
      <c r="X33" s="124">
        <v>-91</v>
      </c>
      <c r="Y33" s="124">
        <v>-348</v>
      </c>
      <c r="Z33" s="68">
        <v>-324</v>
      </c>
      <c r="AA33" s="90">
        <v>-900</v>
      </c>
      <c r="AB33" s="68">
        <v>-736</v>
      </c>
      <c r="AC33" s="68">
        <v>-482</v>
      </c>
      <c r="AD33" s="68">
        <v>-530</v>
      </c>
      <c r="AE33" s="68">
        <v>-53</v>
      </c>
      <c r="AF33" s="90">
        <v>-1801</v>
      </c>
      <c r="AG33" s="68">
        <v>-366</v>
      </c>
      <c r="AH33" s="90">
        <f t="shared" ref="AH33:AH34" si="62">AG33</f>
        <v>-366</v>
      </c>
    </row>
    <row r="34" spans="1:34" x14ac:dyDescent="0.25">
      <c r="B34" s="2" t="s">
        <v>74</v>
      </c>
      <c r="C34" s="20">
        <v>-27</v>
      </c>
      <c r="D34" s="7">
        <f>167-C34</f>
        <v>194</v>
      </c>
      <c r="E34" s="7">
        <f>300-D34-C34</f>
        <v>133</v>
      </c>
      <c r="F34" s="7">
        <f t="shared" si="59"/>
        <v>570</v>
      </c>
      <c r="G34" s="3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60"/>
        <v>263</v>
      </c>
      <c r="L34" s="34">
        <v>586</v>
      </c>
      <c r="M34" s="20">
        <v>-55</v>
      </c>
      <c r="N34" s="29">
        <v>-4</v>
      </c>
      <c r="O34" s="7">
        <v>22</v>
      </c>
      <c r="P34" s="20">
        <f t="shared" si="61"/>
        <v>-519</v>
      </c>
      <c r="Q34" s="37">
        <v>-556</v>
      </c>
      <c r="R34" s="20">
        <v>-1123</v>
      </c>
      <c r="S34" s="20">
        <v>-51</v>
      </c>
      <c r="T34" s="68">
        <v>321</v>
      </c>
      <c r="U34" s="68">
        <v>148</v>
      </c>
      <c r="V34" s="90">
        <v>-705</v>
      </c>
      <c r="W34" s="124">
        <v>508</v>
      </c>
      <c r="X34" s="124">
        <v>57</v>
      </c>
      <c r="Y34" s="124">
        <v>-191</v>
      </c>
      <c r="Z34" s="68">
        <v>-1060</v>
      </c>
      <c r="AA34" s="90">
        <v>-686</v>
      </c>
      <c r="AB34" s="68">
        <v>161</v>
      </c>
      <c r="AC34" s="68">
        <v>-437</v>
      </c>
      <c r="AD34" s="68">
        <v>80</v>
      </c>
      <c r="AE34" s="68">
        <v>-1435</v>
      </c>
      <c r="AF34" s="90">
        <v>-1631</v>
      </c>
      <c r="AG34" s="68">
        <v>-342</v>
      </c>
      <c r="AH34" s="90">
        <f t="shared" si="62"/>
        <v>-342</v>
      </c>
    </row>
    <row r="35" spans="1:34" x14ac:dyDescent="0.25">
      <c r="B35" s="2"/>
      <c r="C35" s="21">
        <f t="shared" ref="C35:R35" si="63">SUM(C33:C34)</f>
        <v>-142</v>
      </c>
      <c r="D35" s="10">
        <f t="shared" si="63"/>
        <v>2</v>
      </c>
      <c r="E35" s="21">
        <f t="shared" si="63"/>
        <v>-48</v>
      </c>
      <c r="F35" s="10">
        <f t="shared" si="63"/>
        <v>577</v>
      </c>
      <c r="G35" s="44">
        <f t="shared" si="63"/>
        <v>389</v>
      </c>
      <c r="H35" s="21">
        <f t="shared" si="63"/>
        <v>-96</v>
      </c>
      <c r="I35" s="21">
        <f t="shared" si="63"/>
        <v>-156</v>
      </c>
      <c r="J35" s="10">
        <f t="shared" si="63"/>
        <v>93</v>
      </c>
      <c r="K35" s="10">
        <f t="shared" si="63"/>
        <v>23</v>
      </c>
      <c r="L35" s="39">
        <f t="shared" si="63"/>
        <v>-136</v>
      </c>
      <c r="M35" s="21">
        <f t="shared" si="63"/>
        <v>-256</v>
      </c>
      <c r="N35" s="60">
        <f t="shared" si="63"/>
        <v>-90</v>
      </c>
      <c r="O35" s="21">
        <f t="shared" si="63"/>
        <v>-87</v>
      </c>
      <c r="P35" s="21">
        <f t="shared" si="63"/>
        <v>-578</v>
      </c>
      <c r="Q35" s="39">
        <f t="shared" si="63"/>
        <v>-1011</v>
      </c>
      <c r="R35" s="21">
        <f t="shared" si="63"/>
        <v>-2374</v>
      </c>
      <c r="S35" s="21">
        <f t="shared" ref="S35:T35" si="64">SUM(S33:S34)</f>
        <v>-96</v>
      </c>
      <c r="T35" s="70">
        <f t="shared" si="64"/>
        <v>191</v>
      </c>
      <c r="U35" s="70">
        <f t="shared" ref="U35" si="65">SUM(U33:U34)</f>
        <v>113</v>
      </c>
      <c r="V35" s="92">
        <f t="shared" ref="V35" si="66">SUM(V33:V34)</f>
        <v>-2166</v>
      </c>
      <c r="W35" s="128">
        <f t="shared" ref="W35:X35" si="67">SUM(W33:W34)</f>
        <v>371</v>
      </c>
      <c r="X35" s="128">
        <f t="shared" si="67"/>
        <v>-34</v>
      </c>
      <c r="Y35" s="128">
        <f t="shared" ref="Y35:AA35" si="68">SUM(Y33:Y34)</f>
        <v>-539</v>
      </c>
      <c r="Z35" s="70">
        <f t="shared" si="68"/>
        <v>-1384</v>
      </c>
      <c r="AA35" s="92">
        <f t="shared" si="68"/>
        <v>-1586</v>
      </c>
      <c r="AB35" s="70">
        <f t="shared" ref="AB35:AF35" si="69">SUM(AB33:AB34)</f>
        <v>-575</v>
      </c>
      <c r="AC35" s="70">
        <f t="shared" ref="AC35:AD35" si="70">SUM(AC33:AC34)</f>
        <v>-919</v>
      </c>
      <c r="AD35" s="70">
        <f t="shared" si="70"/>
        <v>-450</v>
      </c>
      <c r="AE35" s="70">
        <f t="shared" si="69"/>
        <v>-1488</v>
      </c>
      <c r="AF35" s="92">
        <f t="shared" si="69"/>
        <v>-3432</v>
      </c>
      <c r="AG35" s="70">
        <f t="shared" ref="AG35:AH35" si="71">SUM(AG33:AG34)</f>
        <v>-708</v>
      </c>
      <c r="AH35" s="92">
        <f t="shared" si="71"/>
        <v>-708</v>
      </c>
    </row>
    <row r="36" spans="1:34" x14ac:dyDescent="0.25">
      <c r="B36" s="12" t="s">
        <v>209</v>
      </c>
      <c r="C36" s="14">
        <f t="shared" ref="C36:R36" si="72">C30+C35</f>
        <v>223</v>
      </c>
      <c r="D36" s="14">
        <f t="shared" si="72"/>
        <v>336</v>
      </c>
      <c r="E36" s="14">
        <f t="shared" si="72"/>
        <v>240</v>
      </c>
      <c r="F36" s="25">
        <f t="shared" si="72"/>
        <v>-1750</v>
      </c>
      <c r="G36" s="45">
        <f t="shared" si="72"/>
        <v>-951</v>
      </c>
      <c r="H36" s="25">
        <f t="shared" si="72"/>
        <v>-453</v>
      </c>
      <c r="I36" s="14">
        <f t="shared" si="72"/>
        <v>747</v>
      </c>
      <c r="J36" s="14">
        <f t="shared" si="72"/>
        <v>644</v>
      </c>
      <c r="K36" s="14">
        <f t="shared" si="72"/>
        <v>20</v>
      </c>
      <c r="L36" s="47">
        <f t="shared" si="72"/>
        <v>958</v>
      </c>
      <c r="M36" s="14">
        <f t="shared" si="72"/>
        <v>246</v>
      </c>
      <c r="N36" s="56">
        <f t="shared" si="72"/>
        <v>186</v>
      </c>
      <c r="O36" s="14">
        <f t="shared" si="72"/>
        <v>112</v>
      </c>
      <c r="P36" s="14">
        <f t="shared" si="72"/>
        <v>1949</v>
      </c>
      <c r="Q36" s="47">
        <f t="shared" si="72"/>
        <v>2493</v>
      </c>
      <c r="R36" s="14">
        <f t="shared" si="72"/>
        <v>4390</v>
      </c>
      <c r="S36" s="14">
        <f t="shared" ref="S36:W36" si="73">S30+S35</f>
        <v>263</v>
      </c>
      <c r="T36" s="71">
        <f t="shared" si="73"/>
        <v>-457</v>
      </c>
      <c r="U36" s="71">
        <f t="shared" ref="U36" si="74">U30+U35</f>
        <v>785</v>
      </c>
      <c r="V36" s="93">
        <f t="shared" si="73"/>
        <v>4981</v>
      </c>
      <c r="W36" s="126">
        <f t="shared" si="73"/>
        <v>-3400</v>
      </c>
      <c r="X36" s="126">
        <f t="shared" ref="X36:Z36" si="75">X30+X35</f>
        <v>-621</v>
      </c>
      <c r="Y36" s="126">
        <f t="shared" si="75"/>
        <v>44</v>
      </c>
      <c r="Z36" s="71">
        <f t="shared" si="75"/>
        <v>924</v>
      </c>
      <c r="AA36" s="93">
        <f t="shared" ref="AA36:AD36" si="76">AA30+AA35</f>
        <v>-3053</v>
      </c>
      <c r="AB36" s="71">
        <f t="shared" si="76"/>
        <v>1099</v>
      </c>
      <c r="AC36" s="71">
        <f t="shared" si="76"/>
        <v>2266</v>
      </c>
      <c r="AD36" s="71">
        <f t="shared" si="76"/>
        <v>967</v>
      </c>
      <c r="AE36" s="71">
        <f t="shared" ref="AE36:AG36" si="77">AE30+AE35</f>
        <v>2553</v>
      </c>
      <c r="AF36" s="93">
        <f t="shared" si="77"/>
        <v>6885</v>
      </c>
      <c r="AG36" s="71">
        <f t="shared" si="77"/>
        <v>1692</v>
      </c>
      <c r="AH36" s="93">
        <f t="shared" ref="AH36" si="78">AH30+AH35</f>
        <v>1692</v>
      </c>
    </row>
    <row r="37" spans="1:34" x14ac:dyDescent="0.25">
      <c r="B37" s="2"/>
      <c r="C37" s="7"/>
      <c r="D37" s="7"/>
      <c r="E37" s="7"/>
      <c r="F37" s="7"/>
      <c r="G37" s="34"/>
      <c r="H37" s="7"/>
      <c r="I37" s="7"/>
      <c r="J37" s="7"/>
      <c r="K37" s="7"/>
      <c r="L37" s="34"/>
      <c r="M37" s="7"/>
      <c r="N37" s="51"/>
      <c r="O37" s="7"/>
      <c r="P37" s="7"/>
      <c r="Q37" s="34"/>
      <c r="R37" s="7"/>
      <c r="S37" s="7"/>
      <c r="T37" s="65"/>
      <c r="U37" s="65"/>
      <c r="V37" s="87"/>
      <c r="W37" s="121"/>
      <c r="X37" s="121"/>
      <c r="Y37" s="121"/>
      <c r="Z37" s="65"/>
      <c r="AA37" s="87"/>
      <c r="AB37" s="65"/>
      <c r="AC37" s="65"/>
      <c r="AD37" s="65"/>
      <c r="AE37" s="65"/>
      <c r="AF37" s="87"/>
      <c r="AG37" s="65"/>
      <c r="AH37" s="87"/>
    </row>
    <row r="38" spans="1:34" x14ac:dyDescent="0.25">
      <c r="B38" s="1" t="s">
        <v>75</v>
      </c>
      <c r="C38" s="7"/>
      <c r="D38" s="7"/>
      <c r="E38" s="7"/>
      <c r="F38" s="7"/>
      <c r="G38" s="34"/>
      <c r="H38" s="7"/>
      <c r="I38" s="7"/>
      <c r="J38" s="7"/>
      <c r="K38" s="7"/>
      <c r="L38" s="34"/>
      <c r="M38" s="7"/>
      <c r="N38" s="51"/>
      <c r="O38" s="7"/>
      <c r="P38" s="7"/>
      <c r="Q38" s="34"/>
      <c r="R38" s="7"/>
      <c r="S38" s="7"/>
      <c r="T38" s="65"/>
      <c r="U38" s="65"/>
      <c r="V38" s="87"/>
      <c r="W38" s="121"/>
      <c r="X38" s="121"/>
      <c r="Y38" s="121"/>
      <c r="Z38" s="65"/>
      <c r="AA38" s="87"/>
      <c r="AB38" s="65"/>
      <c r="AC38" s="65"/>
      <c r="AD38" s="65"/>
      <c r="AE38" s="65"/>
      <c r="AF38" s="87"/>
      <c r="AG38" s="65"/>
      <c r="AH38" s="87"/>
    </row>
    <row r="39" spans="1:34" x14ac:dyDescent="0.25">
      <c r="B39" s="2" t="s">
        <v>76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79">G39-E39-D39-C39</f>
        <v>-112</v>
      </c>
      <c r="G39" s="3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80">L39-J39-I39-H39</f>
        <v>262</v>
      </c>
      <c r="L39" s="37">
        <v>-148</v>
      </c>
      <c r="M39" s="20">
        <v>-96</v>
      </c>
      <c r="N39" s="29">
        <v>-40</v>
      </c>
      <c r="O39" s="68">
        <v>0</v>
      </c>
      <c r="P39" s="20">
        <f t="shared" ref="P39" si="81">Q39-O39-N39-M39</f>
        <v>-47</v>
      </c>
      <c r="Q39" s="37">
        <v>-183</v>
      </c>
      <c r="R39" s="7">
        <v>1</v>
      </c>
      <c r="S39" s="20">
        <v>-37</v>
      </c>
      <c r="T39" s="68">
        <v>-1</v>
      </c>
      <c r="U39" s="68">
        <v>-19</v>
      </c>
      <c r="V39" s="90">
        <v>-56</v>
      </c>
      <c r="W39" s="121">
        <v>-44</v>
      </c>
      <c r="X39" s="121">
        <v>-24</v>
      </c>
      <c r="Y39" s="121">
        <v>33</v>
      </c>
      <c r="Z39" s="68">
        <v>23</v>
      </c>
      <c r="AA39" s="90">
        <v>-12</v>
      </c>
      <c r="AB39" s="68">
        <v>29</v>
      </c>
      <c r="AC39" s="68">
        <v>7</v>
      </c>
      <c r="AD39" s="68">
        <v>101</v>
      </c>
      <c r="AE39" s="68">
        <v>98</v>
      </c>
      <c r="AF39" s="90">
        <v>235</v>
      </c>
      <c r="AG39" s="68">
        <v>0</v>
      </c>
      <c r="AH39" s="99">
        <f>AG39</f>
        <v>0</v>
      </c>
    </row>
    <row r="40" spans="1:34" ht="14.95" thickBot="1" x14ac:dyDescent="0.3">
      <c r="B40" s="1" t="s">
        <v>210</v>
      </c>
      <c r="C40" s="15">
        <f t="shared" ref="C40:R40" si="82">C36+C39</f>
        <v>144</v>
      </c>
      <c r="D40" s="15">
        <f t="shared" si="82"/>
        <v>318</v>
      </c>
      <c r="E40" s="15">
        <f t="shared" si="82"/>
        <v>149</v>
      </c>
      <c r="F40" s="26">
        <f t="shared" si="82"/>
        <v>-1862</v>
      </c>
      <c r="G40" s="46">
        <f t="shared" si="82"/>
        <v>-1251</v>
      </c>
      <c r="H40" s="26">
        <f t="shared" si="82"/>
        <v>-546</v>
      </c>
      <c r="I40" s="15">
        <f t="shared" si="82"/>
        <v>554</v>
      </c>
      <c r="J40" s="15">
        <f t="shared" si="82"/>
        <v>520</v>
      </c>
      <c r="K40" s="15">
        <f t="shared" si="82"/>
        <v>282</v>
      </c>
      <c r="L40" s="48">
        <f t="shared" si="82"/>
        <v>810</v>
      </c>
      <c r="M40" s="15">
        <f t="shared" si="82"/>
        <v>150</v>
      </c>
      <c r="N40" s="58">
        <f t="shared" si="82"/>
        <v>146</v>
      </c>
      <c r="O40" s="15">
        <f t="shared" si="82"/>
        <v>112</v>
      </c>
      <c r="P40" s="15">
        <f t="shared" si="82"/>
        <v>1902</v>
      </c>
      <c r="Q40" s="48">
        <f t="shared" si="82"/>
        <v>2310</v>
      </c>
      <c r="R40" s="15">
        <f t="shared" si="82"/>
        <v>4391</v>
      </c>
      <c r="S40" s="15">
        <f t="shared" ref="S40:W40" si="83">S36+S39</f>
        <v>226</v>
      </c>
      <c r="T40" s="73">
        <f t="shared" si="83"/>
        <v>-458</v>
      </c>
      <c r="U40" s="73">
        <f t="shared" si="83"/>
        <v>766</v>
      </c>
      <c r="V40" s="95">
        <f t="shared" si="83"/>
        <v>4925</v>
      </c>
      <c r="W40" s="129">
        <f t="shared" si="83"/>
        <v>-3444</v>
      </c>
      <c r="X40" s="129">
        <f t="shared" ref="X40:Z40" si="84">X36+X39</f>
        <v>-645</v>
      </c>
      <c r="Y40" s="129">
        <f t="shared" si="84"/>
        <v>77</v>
      </c>
      <c r="Z40" s="73">
        <f t="shared" si="84"/>
        <v>947</v>
      </c>
      <c r="AA40" s="95">
        <f t="shared" ref="AA40:AD40" si="85">AA36+AA39</f>
        <v>-3065</v>
      </c>
      <c r="AB40" s="73">
        <f t="shared" si="85"/>
        <v>1128</v>
      </c>
      <c r="AC40" s="73">
        <f t="shared" si="85"/>
        <v>2273</v>
      </c>
      <c r="AD40" s="73">
        <f t="shared" si="85"/>
        <v>1068</v>
      </c>
      <c r="AE40" s="73">
        <f t="shared" ref="AE40:AG40" si="86">AE36+AE39</f>
        <v>2651</v>
      </c>
      <c r="AF40" s="95">
        <f t="shared" si="86"/>
        <v>7120</v>
      </c>
      <c r="AG40" s="73">
        <f t="shared" si="86"/>
        <v>1692</v>
      </c>
      <c r="AH40" s="95">
        <f t="shared" ref="AH40" si="87">AH36+AH39</f>
        <v>1692</v>
      </c>
    </row>
    <row r="41" spans="1:34" ht="14.95" thickTop="1" x14ac:dyDescent="0.25">
      <c r="B41" s="2"/>
      <c r="C41" s="7"/>
      <c r="D41" s="7"/>
      <c r="E41" s="7"/>
      <c r="F41" s="7"/>
      <c r="G41" s="34"/>
      <c r="H41" s="7"/>
      <c r="I41" s="7"/>
      <c r="J41" s="7"/>
      <c r="K41" s="7"/>
      <c r="L41" s="34"/>
      <c r="M41" s="7"/>
      <c r="N41" s="51"/>
      <c r="O41" s="7"/>
      <c r="P41" s="7"/>
      <c r="Q41" s="34"/>
      <c r="R41" s="7"/>
      <c r="S41" s="7"/>
      <c r="T41" s="65"/>
      <c r="U41" s="65"/>
      <c r="V41" s="87"/>
      <c r="W41" s="121"/>
      <c r="X41" s="121"/>
      <c r="Y41" s="121"/>
      <c r="Z41" s="65"/>
      <c r="AA41" s="87"/>
      <c r="AB41" s="65"/>
      <c r="AC41" s="65"/>
      <c r="AD41" s="65"/>
      <c r="AE41" s="65"/>
      <c r="AF41" s="87"/>
      <c r="AG41" s="65"/>
      <c r="AH41" s="87"/>
    </row>
    <row r="42" spans="1:34" x14ac:dyDescent="0.25">
      <c r="B42" s="2" t="s">
        <v>79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88">G42-E42-D42-C42</f>
        <v>-1801</v>
      </c>
      <c r="G42" s="3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89">L42-J42-I42-H42</f>
        <v>111</v>
      </c>
      <c r="L42" s="34">
        <v>590</v>
      </c>
      <c r="M42" s="7">
        <v>52</v>
      </c>
      <c r="N42" s="51">
        <v>157</v>
      </c>
      <c r="O42" s="7">
        <f>293-N42-M42</f>
        <v>84</v>
      </c>
      <c r="P42" s="7">
        <f t="shared" ref="P42:P43" si="90">Q42-O42-N42-M42</f>
        <v>1809</v>
      </c>
      <c r="Q42" s="34">
        <v>2102</v>
      </c>
      <c r="R42" s="7">
        <v>4388</v>
      </c>
      <c r="S42" s="7">
        <v>189</v>
      </c>
      <c r="T42" s="65">
        <v>-198</v>
      </c>
      <c r="U42" s="65">
        <v>791</v>
      </c>
      <c r="V42" s="87">
        <v>5170</v>
      </c>
      <c r="W42" s="121">
        <v>-2189</v>
      </c>
      <c r="X42" s="121">
        <v>-422</v>
      </c>
      <c r="Y42" s="121">
        <v>135</v>
      </c>
      <c r="Z42" s="65">
        <v>840</v>
      </c>
      <c r="AA42" s="87">
        <v>-1636</v>
      </c>
      <c r="AB42" s="65">
        <v>1018</v>
      </c>
      <c r="AC42" s="65">
        <v>1941</v>
      </c>
      <c r="AD42" s="65">
        <v>977</v>
      </c>
      <c r="AE42" s="65">
        <v>2464</v>
      </c>
      <c r="AF42" s="87">
        <v>6400</v>
      </c>
      <c r="AG42" s="65">
        <v>1445</v>
      </c>
      <c r="AH42" s="87">
        <f t="shared" ref="AH42:AH43" si="91">AG42</f>
        <v>1445</v>
      </c>
    </row>
    <row r="43" spans="1:34" x14ac:dyDescent="0.25">
      <c r="B43" s="2" t="s">
        <v>78</v>
      </c>
      <c r="C43" s="20">
        <v>-4</v>
      </c>
      <c r="D43" s="7">
        <f>60-C43</f>
        <v>64</v>
      </c>
      <c r="E43" s="7">
        <f>106-D43-C43</f>
        <v>46</v>
      </c>
      <c r="F43" s="20">
        <f t="shared" si="88"/>
        <v>-61</v>
      </c>
      <c r="G43" s="3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89"/>
        <v>171</v>
      </c>
      <c r="L43" s="34">
        <v>220</v>
      </c>
      <c r="M43" s="7">
        <v>98</v>
      </c>
      <c r="N43" s="29">
        <f>87-M43</f>
        <v>-11</v>
      </c>
      <c r="O43" s="7">
        <f>115-N43-M43</f>
        <v>28</v>
      </c>
      <c r="P43" s="7">
        <f t="shared" si="90"/>
        <v>93</v>
      </c>
      <c r="Q43" s="34">
        <v>208</v>
      </c>
      <c r="R43" s="7">
        <v>3</v>
      </c>
      <c r="S43" s="7">
        <v>36</v>
      </c>
      <c r="T43" s="65">
        <v>-260</v>
      </c>
      <c r="U43" s="65">
        <v>-24</v>
      </c>
      <c r="V43" s="87">
        <v>-245</v>
      </c>
      <c r="W43" s="121">
        <v>-1255</v>
      </c>
      <c r="X43" s="121">
        <v>-223</v>
      </c>
      <c r="Y43" s="121">
        <v>-58</v>
      </c>
      <c r="Z43" s="65">
        <v>107</v>
      </c>
      <c r="AA43" s="87">
        <v>-1429</v>
      </c>
      <c r="AB43" s="65">
        <v>110</v>
      </c>
      <c r="AC43" s="65">
        <v>332</v>
      </c>
      <c r="AD43" s="65">
        <v>91</v>
      </c>
      <c r="AE43" s="65">
        <v>187</v>
      </c>
      <c r="AF43" s="87">
        <v>720</v>
      </c>
      <c r="AG43" s="65">
        <v>247</v>
      </c>
      <c r="AH43" s="87">
        <f t="shared" si="91"/>
        <v>247</v>
      </c>
    </row>
    <row r="44" spans="1:34" ht="14.95" thickBot="1" x14ac:dyDescent="0.3">
      <c r="B44" s="1" t="s">
        <v>77</v>
      </c>
      <c r="C44" s="15">
        <f t="shared" ref="C44:R44" si="92">C42+C43</f>
        <v>144</v>
      </c>
      <c r="D44" s="15">
        <f t="shared" si="92"/>
        <v>318</v>
      </c>
      <c r="E44" s="15">
        <f t="shared" si="92"/>
        <v>149</v>
      </c>
      <c r="F44" s="26">
        <f t="shared" si="92"/>
        <v>-1862</v>
      </c>
      <c r="G44" s="46">
        <f t="shared" si="92"/>
        <v>-1251</v>
      </c>
      <c r="H44" s="26">
        <f t="shared" si="92"/>
        <v>-546</v>
      </c>
      <c r="I44" s="15">
        <f t="shared" si="92"/>
        <v>554</v>
      </c>
      <c r="J44" s="15">
        <f t="shared" si="92"/>
        <v>520</v>
      </c>
      <c r="K44" s="15">
        <f t="shared" si="92"/>
        <v>282</v>
      </c>
      <c r="L44" s="48">
        <f t="shared" si="92"/>
        <v>810</v>
      </c>
      <c r="M44" s="15">
        <f t="shared" si="92"/>
        <v>150</v>
      </c>
      <c r="N44" s="58">
        <f t="shared" si="92"/>
        <v>146</v>
      </c>
      <c r="O44" s="15">
        <f t="shared" si="92"/>
        <v>112</v>
      </c>
      <c r="P44" s="15">
        <f t="shared" si="92"/>
        <v>1902</v>
      </c>
      <c r="Q44" s="48">
        <f t="shared" si="92"/>
        <v>2310</v>
      </c>
      <c r="R44" s="15">
        <f t="shared" si="92"/>
        <v>4391</v>
      </c>
      <c r="S44" s="15">
        <f t="shared" ref="S44:W44" si="93">S42+S43</f>
        <v>225</v>
      </c>
      <c r="T44" s="73">
        <f t="shared" si="93"/>
        <v>-458</v>
      </c>
      <c r="U44" s="73">
        <f t="shared" si="93"/>
        <v>767</v>
      </c>
      <c r="V44" s="95">
        <f t="shared" si="93"/>
        <v>4925</v>
      </c>
      <c r="W44" s="129">
        <f t="shared" si="93"/>
        <v>-3444</v>
      </c>
      <c r="X44" s="129">
        <f t="shared" ref="X44:Z44" si="94">X42+X43</f>
        <v>-645</v>
      </c>
      <c r="Y44" s="129">
        <f t="shared" si="94"/>
        <v>77</v>
      </c>
      <c r="Z44" s="73">
        <f t="shared" si="94"/>
        <v>947</v>
      </c>
      <c r="AA44" s="95">
        <f t="shared" ref="AA44:AD44" si="95">AA42+AA43</f>
        <v>-3065</v>
      </c>
      <c r="AB44" s="73">
        <f t="shared" si="95"/>
        <v>1128</v>
      </c>
      <c r="AC44" s="73">
        <f t="shared" si="95"/>
        <v>2273</v>
      </c>
      <c r="AD44" s="73">
        <f t="shared" si="95"/>
        <v>1068</v>
      </c>
      <c r="AE44" s="73">
        <f t="shared" ref="AE44:AG44" si="96">AE42+AE43</f>
        <v>2651</v>
      </c>
      <c r="AF44" s="95">
        <f t="shared" si="96"/>
        <v>7120</v>
      </c>
      <c r="AG44" s="73">
        <f t="shared" si="96"/>
        <v>1692</v>
      </c>
      <c r="AH44" s="95">
        <f t="shared" ref="AH44" si="97">AH42+AH43</f>
        <v>1692</v>
      </c>
    </row>
    <row r="45" spans="1:34" ht="14.9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V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5">
      <c r="A46" s="30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V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5">
      <c r="B47" s="132" t="s">
        <v>184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V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V48" s="7"/>
      <c r="AA48" s="7"/>
      <c r="AB48" s="7"/>
      <c r="AC48" s="7"/>
      <c r="AD48" s="7"/>
      <c r="AE48" s="7"/>
      <c r="AF48" s="7"/>
      <c r="AG48" s="7"/>
      <c r="AH48" s="7"/>
    </row>
    <row r="49" spans="3:34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V49" s="7"/>
      <c r="AA49" s="7"/>
      <c r="AB49" s="7"/>
      <c r="AC49" s="7"/>
      <c r="AD49" s="7"/>
      <c r="AE49" s="7"/>
      <c r="AF49" s="7"/>
      <c r="AG49" s="7"/>
      <c r="AH49" s="7"/>
    </row>
    <row r="50" spans="3:34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V50" s="7"/>
      <c r="AA50" s="7"/>
      <c r="AB50" s="7"/>
      <c r="AC50" s="7"/>
      <c r="AD50" s="7"/>
      <c r="AE50" s="7"/>
      <c r="AF50" s="7"/>
      <c r="AG50" s="7"/>
      <c r="AH50" s="7"/>
    </row>
    <row r="51" spans="3:34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V51" s="7"/>
      <c r="AA51" s="7"/>
      <c r="AB51" s="7"/>
      <c r="AC51" s="7"/>
      <c r="AD51" s="7"/>
      <c r="AE51" s="7"/>
      <c r="AF51" s="7"/>
      <c r="AG51" s="7"/>
      <c r="AH51" s="7"/>
    </row>
    <row r="52" spans="3:34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V52" s="7"/>
      <c r="AA52" s="7"/>
      <c r="AB52" s="7"/>
      <c r="AC52" s="7"/>
      <c r="AD52" s="7"/>
      <c r="AE52" s="7"/>
      <c r="AF52" s="7"/>
      <c r="AG52" s="7"/>
      <c r="AH52" s="7"/>
    </row>
    <row r="53" spans="3:34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V53" s="7"/>
      <c r="AA53" s="7"/>
      <c r="AB53" s="7"/>
      <c r="AC53" s="7"/>
      <c r="AD53" s="7"/>
      <c r="AE53" s="7"/>
      <c r="AF53" s="7"/>
      <c r="AG53" s="7"/>
      <c r="AH53" s="7"/>
    </row>
  </sheetData>
  <mergeCells count="9">
    <mergeCell ref="AG4:AG5"/>
    <mergeCell ref="AH4:AH6"/>
    <mergeCell ref="AB4:AE5"/>
    <mergeCell ref="AF4:AF6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08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25" defaultRowHeight="14.3" x14ac:dyDescent="0.25"/>
  <cols>
    <col min="1" max="1" width="3.375" style="74" customWidth="1"/>
    <col min="2" max="2" width="83.375" style="74" bestFit="1" customWidth="1"/>
    <col min="3" max="13" width="18" style="74" customWidth="1"/>
    <col min="14" max="14" width="18" style="86" customWidth="1"/>
    <col min="15" max="34" width="18" style="74" customWidth="1"/>
    <col min="35" max="16384" width="9.125" style="74"/>
  </cols>
  <sheetData>
    <row r="1" spans="2:34" customFormat="1" x14ac:dyDescent="0.25">
      <c r="N1" s="52"/>
      <c r="O1" s="74"/>
      <c r="T1" s="74"/>
      <c r="U1" s="74"/>
      <c r="Z1" s="74"/>
      <c r="AB1" s="74"/>
      <c r="AC1" s="74"/>
      <c r="AD1" s="74"/>
      <c r="AE1" s="74"/>
      <c r="AG1" s="74"/>
    </row>
    <row r="2" spans="2:34" customFormat="1" x14ac:dyDescent="0.25">
      <c r="F2" s="28"/>
      <c r="H2" s="28"/>
      <c r="K2" s="28"/>
      <c r="N2" s="52"/>
      <c r="O2" s="74"/>
      <c r="P2" s="28"/>
      <c r="T2" s="74"/>
      <c r="U2" s="74"/>
      <c r="Z2" s="74"/>
      <c r="AB2" s="74"/>
      <c r="AC2" s="74"/>
      <c r="AD2" s="74"/>
      <c r="AE2" s="74"/>
      <c r="AG2" s="74"/>
    </row>
    <row r="3" spans="2:34" customFormat="1" x14ac:dyDescent="0.25">
      <c r="N3" s="52"/>
      <c r="O3" s="74"/>
      <c r="T3" s="74"/>
      <c r="U3" s="74"/>
      <c r="Z3" s="74"/>
      <c r="AB3" s="74"/>
      <c r="AC3" s="74"/>
      <c r="AD3" s="74"/>
      <c r="AE3" s="74"/>
      <c r="AG3" s="74"/>
    </row>
    <row r="4" spans="2:34" customFormat="1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9">
        <v>2021</v>
      </c>
      <c r="AC4" s="149"/>
      <c r="AD4" s="149"/>
      <c r="AE4" s="149"/>
      <c r="AF4" s="149"/>
      <c r="AG4" s="149">
        <v>2022</v>
      </c>
      <c r="AH4" s="149"/>
    </row>
    <row r="5" spans="2:34" customFormat="1" ht="15.65" x14ac:dyDescent="0.25">
      <c r="B5" s="4" t="s">
        <v>155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9"/>
      <c r="AC5" s="149"/>
      <c r="AD5" s="149"/>
      <c r="AE5" s="149"/>
      <c r="AF5" s="149"/>
      <c r="AG5" s="149"/>
      <c r="AH5" s="149"/>
    </row>
    <row r="6" spans="2:34" customFormat="1" ht="15.65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75" t="s">
        <v>151</v>
      </c>
      <c r="P6" s="6" t="s">
        <v>53</v>
      </c>
      <c r="Q6" s="31" t="s">
        <v>54</v>
      </c>
      <c r="R6" s="6" t="s">
        <v>157</v>
      </c>
      <c r="S6" s="6" t="s">
        <v>159</v>
      </c>
      <c r="T6" s="75" t="s">
        <v>162</v>
      </c>
      <c r="U6" s="75" t="s">
        <v>164</v>
      </c>
      <c r="V6" s="31" t="s">
        <v>163</v>
      </c>
      <c r="W6" s="6" t="s">
        <v>167</v>
      </c>
      <c r="X6" s="6" t="s">
        <v>170</v>
      </c>
      <c r="Y6" s="6" t="s">
        <v>178</v>
      </c>
      <c r="Z6" s="75" t="s">
        <v>180</v>
      </c>
      <c r="AA6" s="142">
        <v>2020</v>
      </c>
      <c r="AB6" s="75" t="s">
        <v>186</v>
      </c>
      <c r="AC6" s="75" t="s">
        <v>188</v>
      </c>
      <c r="AD6" s="75" t="s">
        <v>191</v>
      </c>
      <c r="AE6" s="75" t="s">
        <v>219</v>
      </c>
      <c r="AF6" s="142">
        <v>2021</v>
      </c>
      <c r="AG6" s="75" t="s">
        <v>233</v>
      </c>
      <c r="AH6" s="142">
        <v>2022</v>
      </c>
    </row>
    <row r="7" spans="2:34" x14ac:dyDescent="0.25">
      <c r="B7" s="105" t="s">
        <v>83</v>
      </c>
      <c r="G7" s="96"/>
      <c r="L7" s="96"/>
      <c r="Q7" s="96"/>
      <c r="V7" s="96"/>
      <c r="AA7" s="96"/>
      <c r="AF7" s="96"/>
      <c r="AH7" s="96"/>
    </row>
    <row r="8" spans="2:34" x14ac:dyDescent="0.25">
      <c r="B8" s="105"/>
      <c r="G8" s="96"/>
      <c r="L8" s="96"/>
      <c r="Q8" s="96"/>
      <c r="V8" s="96"/>
      <c r="AA8" s="96"/>
      <c r="AF8" s="96"/>
      <c r="AH8" s="96"/>
    </row>
    <row r="9" spans="2:34" s="108" customFormat="1" x14ac:dyDescent="0.25">
      <c r="B9" s="106" t="s">
        <v>208</v>
      </c>
      <c r="C9" s="76">
        <v>365</v>
      </c>
      <c r="D9" s="76">
        <f>699-C9</f>
        <v>334</v>
      </c>
      <c r="E9" s="76">
        <f>987-C9-D9</f>
        <v>288</v>
      </c>
      <c r="F9" s="67">
        <f>G9-SUM(C9:E9)</f>
        <v>-2327</v>
      </c>
      <c r="G9" s="107">
        <v>-1340</v>
      </c>
      <c r="H9" s="67">
        <v>-357</v>
      </c>
      <c r="I9" s="76">
        <f>546-H9</f>
        <v>903</v>
      </c>
      <c r="J9" s="76">
        <f>1097-I9-H9</f>
        <v>551</v>
      </c>
      <c r="K9" s="67">
        <f>L9-SUM(H9:J9)</f>
        <v>-3</v>
      </c>
      <c r="L9" s="9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9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97">
        <v>7128</v>
      </c>
      <c r="W9" s="76">
        <v>-3810</v>
      </c>
      <c r="X9" s="76">
        <v>-607</v>
      </c>
      <c r="Y9" s="76">
        <v>621</v>
      </c>
      <c r="Z9" s="76">
        <v>2322</v>
      </c>
      <c r="AA9" s="97">
        <v>-1474</v>
      </c>
      <c r="AB9" s="76">
        <v>1713</v>
      </c>
      <c r="AC9" s="76">
        <v>3214</v>
      </c>
      <c r="AD9" s="76">
        <v>1545</v>
      </c>
      <c r="AE9" s="76">
        <v>3845</v>
      </c>
      <c r="AF9" s="97">
        <v>10317</v>
      </c>
      <c r="AG9" s="76">
        <v>2400</v>
      </c>
      <c r="AH9" s="97">
        <f>AG9</f>
        <v>2400</v>
      </c>
    </row>
    <row r="10" spans="2:34" x14ac:dyDescent="0.25">
      <c r="B10" s="109"/>
      <c r="C10" s="65"/>
      <c r="D10" s="65"/>
      <c r="E10" s="65"/>
      <c r="F10" s="65"/>
      <c r="G10" s="98"/>
      <c r="H10" s="65"/>
      <c r="I10" s="65"/>
      <c r="J10" s="65"/>
      <c r="K10" s="65"/>
      <c r="L10" s="98"/>
      <c r="M10" s="65"/>
      <c r="N10" s="65"/>
      <c r="O10" s="65"/>
      <c r="P10" s="65"/>
      <c r="Q10" s="98"/>
      <c r="R10" s="65"/>
      <c r="S10" s="65"/>
      <c r="T10" s="65"/>
      <c r="U10" s="65"/>
      <c r="V10" s="98"/>
      <c r="W10" s="65"/>
      <c r="X10" s="65"/>
      <c r="Y10" s="65"/>
      <c r="Z10" s="65"/>
      <c r="AA10" s="98"/>
      <c r="AB10" s="65"/>
      <c r="AC10" s="65"/>
      <c r="AD10" s="65"/>
      <c r="AE10" s="65"/>
      <c r="AF10" s="98"/>
      <c r="AG10" s="65"/>
      <c r="AH10" s="98"/>
    </row>
    <row r="11" spans="2:34" x14ac:dyDescent="0.25">
      <c r="B11" s="109" t="s">
        <v>147</v>
      </c>
      <c r="C11" s="68">
        <v>-79</v>
      </c>
      <c r="D11" s="68">
        <f>-97-C11</f>
        <v>-18</v>
      </c>
      <c r="E11" s="68">
        <f>-188-C11-D11</f>
        <v>-91</v>
      </c>
      <c r="F11" s="68">
        <f>G11-SUM(C11:E11)</f>
        <v>-112</v>
      </c>
      <c r="G11" s="99">
        <v>-300</v>
      </c>
      <c r="H11" s="68">
        <v>-93</v>
      </c>
      <c r="I11" s="68">
        <f>-286-H11</f>
        <v>-193</v>
      </c>
      <c r="J11" s="68">
        <f>-410-H11-I11</f>
        <v>-124</v>
      </c>
      <c r="K11" s="65">
        <f>L11-SUM(H11:J11)</f>
        <v>262</v>
      </c>
      <c r="L11" s="99">
        <v>-148</v>
      </c>
      <c r="M11" s="68">
        <v>-96</v>
      </c>
      <c r="N11" s="68">
        <v>-40</v>
      </c>
      <c r="O11" s="68">
        <f>-136-M11-N11</f>
        <v>0</v>
      </c>
      <c r="P11" s="68">
        <f>Q11-SUM(M11:O11)</f>
        <v>-47</v>
      </c>
      <c r="Q11" s="99">
        <v>-183</v>
      </c>
      <c r="R11" s="65">
        <v>1</v>
      </c>
      <c r="S11" s="68">
        <v>-37</v>
      </c>
      <c r="T11" s="68">
        <v>-1</v>
      </c>
      <c r="U11" s="68">
        <f t="shared" ref="U11:U85" si="0">V11-SUM(R11:T11)</f>
        <v>0</v>
      </c>
      <c r="V11" s="99">
        <v>-37</v>
      </c>
      <c r="W11" s="65">
        <v>0</v>
      </c>
      <c r="X11" s="65">
        <v>-1</v>
      </c>
      <c r="Y11" s="65">
        <v>0</v>
      </c>
      <c r="Z11" s="68">
        <v>2</v>
      </c>
      <c r="AA11" s="99">
        <v>1</v>
      </c>
      <c r="AB11" s="68">
        <v>0</v>
      </c>
      <c r="AC11" s="68">
        <v>0</v>
      </c>
      <c r="AD11" s="68">
        <v>0</v>
      </c>
      <c r="AE11" s="68">
        <v>235</v>
      </c>
      <c r="AF11" s="98">
        <v>235</v>
      </c>
      <c r="AG11" s="68">
        <v>0</v>
      </c>
      <c r="AH11" s="98">
        <f>AG11</f>
        <v>0</v>
      </c>
    </row>
    <row r="12" spans="2:34" x14ac:dyDescent="0.25">
      <c r="B12" s="109"/>
      <c r="C12" s="68"/>
      <c r="D12" s="68"/>
      <c r="E12" s="68"/>
      <c r="F12" s="68"/>
      <c r="G12" s="99"/>
      <c r="H12" s="68"/>
      <c r="I12" s="68"/>
      <c r="J12" s="68"/>
      <c r="K12" s="65"/>
      <c r="L12" s="99"/>
      <c r="M12" s="68"/>
      <c r="N12" s="68"/>
      <c r="O12" s="68"/>
      <c r="P12" s="68"/>
      <c r="Q12" s="99"/>
      <c r="R12" s="65"/>
      <c r="S12" s="65"/>
      <c r="T12" s="65"/>
      <c r="U12" s="65"/>
      <c r="V12" s="99"/>
      <c r="W12" s="65"/>
      <c r="X12" s="65"/>
      <c r="Y12" s="65"/>
      <c r="Z12" s="65"/>
      <c r="AA12" s="99"/>
      <c r="AB12" s="65"/>
      <c r="AC12" s="65"/>
      <c r="AD12" s="65"/>
      <c r="AE12" s="65"/>
      <c r="AF12" s="99"/>
      <c r="AG12" s="65"/>
      <c r="AH12" s="99"/>
    </row>
    <row r="13" spans="2:34" x14ac:dyDescent="0.25">
      <c r="B13" s="109" t="s">
        <v>148</v>
      </c>
      <c r="C13" s="68"/>
      <c r="D13" s="68"/>
      <c r="E13" s="68"/>
      <c r="F13" s="68"/>
      <c r="G13" s="99"/>
      <c r="H13" s="68"/>
      <c r="I13" s="68"/>
      <c r="J13" s="68"/>
      <c r="K13" s="68"/>
      <c r="L13" s="99"/>
      <c r="M13" s="68"/>
      <c r="N13" s="68"/>
      <c r="O13" s="68"/>
      <c r="P13" s="68"/>
      <c r="Q13" s="99"/>
      <c r="R13" s="68"/>
      <c r="S13" s="68"/>
      <c r="T13" s="68"/>
      <c r="U13" s="68"/>
      <c r="V13" s="99"/>
      <c r="W13" s="68"/>
      <c r="X13" s="68"/>
      <c r="Y13" s="68"/>
      <c r="Z13" s="68"/>
      <c r="AA13" s="99"/>
      <c r="AB13" s="68"/>
      <c r="AC13" s="68"/>
      <c r="AD13" s="68"/>
      <c r="AE13" s="68"/>
      <c r="AF13" s="99"/>
      <c r="AG13" s="68"/>
      <c r="AH13" s="99"/>
    </row>
    <row r="14" spans="2:34" x14ac:dyDescent="0.25">
      <c r="B14" s="109" t="s">
        <v>124</v>
      </c>
      <c r="C14" s="65">
        <v>0</v>
      </c>
      <c r="D14" s="65">
        <v>0</v>
      </c>
      <c r="E14" s="65">
        <v>0</v>
      </c>
      <c r="F14" s="65">
        <f t="shared" ref="F14:F41" si="1">G14-SUM(C14:E14)</f>
        <v>0</v>
      </c>
      <c r="G14" s="98">
        <v>0</v>
      </c>
      <c r="H14" s="65">
        <v>0</v>
      </c>
      <c r="I14" s="65">
        <v>0</v>
      </c>
      <c r="J14" s="65">
        <v>0</v>
      </c>
      <c r="K14" s="68">
        <f t="shared" ref="K14:K41" si="2">L14-SUM(H14:J14)</f>
        <v>-23</v>
      </c>
      <c r="L14" s="99">
        <f>-133-118+228</f>
        <v>-23</v>
      </c>
      <c r="M14" s="65">
        <v>0</v>
      </c>
      <c r="N14" s="65">
        <v>0</v>
      </c>
      <c r="O14" s="65">
        <v>0</v>
      </c>
      <c r="P14" s="65">
        <f t="shared" ref="P14:P41" si="3">Q14-SUM(M14:O14)</f>
        <v>0</v>
      </c>
      <c r="Q14" s="98">
        <v>0</v>
      </c>
      <c r="R14" s="65">
        <v>0</v>
      </c>
      <c r="S14" s="65">
        <v>0</v>
      </c>
      <c r="T14" s="65">
        <v>0</v>
      </c>
      <c r="U14" s="65">
        <f t="shared" si="0"/>
        <v>0</v>
      </c>
      <c r="V14" s="98">
        <v>0</v>
      </c>
      <c r="W14" s="65">
        <v>0</v>
      </c>
      <c r="X14" s="65">
        <v>0</v>
      </c>
      <c r="Y14" s="65">
        <v>0</v>
      </c>
      <c r="Z14" s="65">
        <v>0</v>
      </c>
      <c r="AA14" s="98">
        <v>0</v>
      </c>
      <c r="AB14" s="65">
        <v>0</v>
      </c>
      <c r="AC14" s="65">
        <v>0</v>
      </c>
      <c r="AD14" s="65">
        <v>0</v>
      </c>
      <c r="AE14" s="65">
        <v>0</v>
      </c>
      <c r="AF14" s="98">
        <v>0</v>
      </c>
      <c r="AG14" s="65">
        <v>0</v>
      </c>
      <c r="AH14" s="98">
        <f t="shared" ref="AH14:AH41" si="4">AG14</f>
        <v>0</v>
      </c>
    </row>
    <row r="15" spans="2:34" x14ac:dyDescent="0.25">
      <c r="B15" s="109" t="s">
        <v>86</v>
      </c>
      <c r="C15" s="65">
        <v>688</v>
      </c>
      <c r="D15" s="65">
        <f>1340-C15</f>
        <v>652</v>
      </c>
      <c r="E15" s="65">
        <f>1961-C15-D15</f>
        <v>621</v>
      </c>
      <c r="F15" s="65">
        <f t="shared" si="1"/>
        <v>642</v>
      </c>
      <c r="G15" s="98">
        <v>2603</v>
      </c>
      <c r="H15" s="65">
        <v>592</v>
      </c>
      <c r="I15" s="65">
        <f>1171-H15</f>
        <v>579</v>
      </c>
      <c r="J15" s="65">
        <f>1730-H15-I15</f>
        <v>559</v>
      </c>
      <c r="K15" s="65">
        <f t="shared" si="2"/>
        <v>595</v>
      </c>
      <c r="L15" s="98">
        <v>2325</v>
      </c>
      <c r="M15" s="65">
        <v>595</v>
      </c>
      <c r="N15" s="65">
        <v>622</v>
      </c>
      <c r="O15" s="65">
        <f>1876-M15-N15</f>
        <v>659</v>
      </c>
      <c r="P15" s="65">
        <f t="shared" si="3"/>
        <v>579</v>
      </c>
      <c r="Q15" s="98">
        <v>2455</v>
      </c>
      <c r="R15" s="65">
        <v>729</v>
      </c>
      <c r="S15" s="65">
        <v>762</v>
      </c>
      <c r="T15" s="65">
        <v>802</v>
      </c>
      <c r="U15" s="65">
        <f t="shared" si="0"/>
        <v>774</v>
      </c>
      <c r="V15" s="98">
        <v>3067</v>
      </c>
      <c r="W15" s="65">
        <v>756</v>
      </c>
      <c r="X15" s="65">
        <v>793</v>
      </c>
      <c r="Y15" s="65">
        <v>871</v>
      </c>
      <c r="Z15" s="65">
        <v>873</v>
      </c>
      <c r="AA15" s="98">
        <v>3293</v>
      </c>
      <c r="AB15" s="65">
        <v>847</v>
      </c>
      <c r="AC15" s="65">
        <v>920</v>
      </c>
      <c r="AD15" s="65">
        <v>949</v>
      </c>
      <c r="AE15" s="65">
        <v>921</v>
      </c>
      <c r="AF15" s="98">
        <v>3637</v>
      </c>
      <c r="AG15" s="65">
        <v>943</v>
      </c>
      <c r="AH15" s="98">
        <f t="shared" si="4"/>
        <v>943</v>
      </c>
    </row>
    <row r="16" spans="2:34" x14ac:dyDescent="0.25">
      <c r="B16" s="109" t="s">
        <v>229</v>
      </c>
      <c r="C16" s="65">
        <v>0</v>
      </c>
      <c r="D16" s="65">
        <v>0</v>
      </c>
      <c r="E16" s="65">
        <v>0</v>
      </c>
      <c r="F16" s="65">
        <v>0</v>
      </c>
      <c r="G16" s="98">
        <v>0</v>
      </c>
      <c r="H16" s="65">
        <v>0</v>
      </c>
      <c r="I16" s="65">
        <v>0</v>
      </c>
      <c r="J16" s="65">
        <v>0</v>
      </c>
      <c r="K16" s="65">
        <v>0</v>
      </c>
      <c r="L16" s="98">
        <v>0</v>
      </c>
      <c r="M16" s="65">
        <v>0</v>
      </c>
      <c r="N16" s="65">
        <v>0</v>
      </c>
      <c r="O16" s="65">
        <v>0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  <c r="Y16" s="65">
        <v>0</v>
      </c>
      <c r="Z16" s="65">
        <v>0</v>
      </c>
      <c r="AA16" s="98">
        <v>0</v>
      </c>
      <c r="AB16" s="65">
        <v>0</v>
      </c>
      <c r="AC16" s="65">
        <v>0</v>
      </c>
      <c r="AD16" s="65">
        <v>0</v>
      </c>
      <c r="AE16" s="65">
        <v>90</v>
      </c>
      <c r="AF16" s="98">
        <v>90</v>
      </c>
      <c r="AG16" s="65">
        <v>0</v>
      </c>
      <c r="AH16" s="98">
        <f t="shared" si="4"/>
        <v>0</v>
      </c>
    </row>
    <row r="17" spans="2:34" x14ac:dyDescent="0.25">
      <c r="B17" s="109" t="s">
        <v>85</v>
      </c>
      <c r="C17" s="68">
        <v>-291</v>
      </c>
      <c r="D17" s="68">
        <f>-586-C17</f>
        <v>-295</v>
      </c>
      <c r="E17" s="65">
        <f>-558-C17-D17</f>
        <v>28</v>
      </c>
      <c r="F17" s="68">
        <f t="shared" si="1"/>
        <v>-166</v>
      </c>
      <c r="G17" s="99">
        <v>-724</v>
      </c>
      <c r="H17" s="68">
        <v>-134</v>
      </c>
      <c r="I17" s="68">
        <f>-484-H17</f>
        <v>-350</v>
      </c>
      <c r="J17" s="68">
        <f>-931-H17-I17</f>
        <v>-447</v>
      </c>
      <c r="K17" s="68">
        <f t="shared" si="2"/>
        <v>-288</v>
      </c>
      <c r="L17" s="99">
        <v>-1219</v>
      </c>
      <c r="M17" s="68">
        <v>-389</v>
      </c>
      <c r="N17" s="68">
        <v>-115</v>
      </c>
      <c r="O17" s="68">
        <f>-562-M17-N17</f>
        <v>-58</v>
      </c>
      <c r="P17" s="68">
        <f t="shared" si="3"/>
        <v>-556</v>
      </c>
      <c r="Q17" s="99">
        <v>-1118</v>
      </c>
      <c r="R17" s="68">
        <v>-89</v>
      </c>
      <c r="S17" s="68">
        <v>-215</v>
      </c>
      <c r="T17" s="68">
        <v>-41</v>
      </c>
      <c r="U17" s="68">
        <f t="shared" si="0"/>
        <v>-574</v>
      </c>
      <c r="V17" s="99">
        <v>-919</v>
      </c>
      <c r="W17" s="68">
        <v>133</v>
      </c>
      <c r="X17" s="68">
        <v>79</v>
      </c>
      <c r="Y17" s="68">
        <v>-238</v>
      </c>
      <c r="Z17" s="68">
        <v>-701</v>
      </c>
      <c r="AA17" s="99">
        <v>-727</v>
      </c>
      <c r="AB17" s="68">
        <v>-97</v>
      </c>
      <c r="AC17" s="68">
        <v>-369</v>
      </c>
      <c r="AD17" s="68">
        <v>150</v>
      </c>
      <c r="AE17" s="68">
        <v>-269</v>
      </c>
      <c r="AF17" s="99">
        <v>-585</v>
      </c>
      <c r="AG17" s="68">
        <v>-216</v>
      </c>
      <c r="AH17" s="99">
        <f t="shared" si="4"/>
        <v>-216</v>
      </c>
    </row>
    <row r="18" spans="2:34" x14ac:dyDescent="0.25">
      <c r="B18" s="109" t="s">
        <v>132</v>
      </c>
      <c r="C18" s="65">
        <v>0</v>
      </c>
      <c r="D18" s="65">
        <v>0</v>
      </c>
      <c r="E18" s="65">
        <v>0</v>
      </c>
      <c r="F18" s="65">
        <v>0</v>
      </c>
      <c r="G18" s="98">
        <v>0</v>
      </c>
      <c r="H18" s="65">
        <v>0</v>
      </c>
      <c r="I18" s="65">
        <v>0</v>
      </c>
      <c r="J18" s="65">
        <v>0</v>
      </c>
      <c r="K18" s="65">
        <v>0</v>
      </c>
      <c r="L18" s="98">
        <v>0</v>
      </c>
      <c r="M18" s="68">
        <v>0</v>
      </c>
      <c r="N18" s="68">
        <v>0</v>
      </c>
      <c r="O18" s="68">
        <v>0</v>
      </c>
      <c r="P18" s="68">
        <f t="shared" si="3"/>
        <v>-820</v>
      </c>
      <c r="Q18" s="99">
        <v>-820</v>
      </c>
      <c r="R18" s="65">
        <v>0</v>
      </c>
      <c r="S18" s="65">
        <v>0</v>
      </c>
      <c r="T18" s="65">
        <v>0</v>
      </c>
      <c r="U18" s="65">
        <f t="shared" si="0"/>
        <v>0</v>
      </c>
      <c r="V18" s="99">
        <v>0</v>
      </c>
      <c r="W18" s="65">
        <v>0</v>
      </c>
      <c r="X18" s="65">
        <v>0</v>
      </c>
      <c r="Y18" s="65">
        <v>0</v>
      </c>
      <c r="Z18" s="65">
        <v>0</v>
      </c>
      <c r="AA18" s="99">
        <v>0</v>
      </c>
      <c r="AB18" s="65">
        <v>0</v>
      </c>
      <c r="AC18" s="65">
        <v>0</v>
      </c>
      <c r="AD18" s="65">
        <v>0</v>
      </c>
      <c r="AE18" s="65">
        <v>0</v>
      </c>
      <c r="AF18" s="99">
        <v>0</v>
      </c>
      <c r="AG18" s="65">
        <v>0</v>
      </c>
      <c r="AH18" s="99">
        <f t="shared" si="4"/>
        <v>0</v>
      </c>
    </row>
    <row r="19" spans="2:34" x14ac:dyDescent="0.25">
      <c r="B19" s="109" t="s">
        <v>161</v>
      </c>
      <c r="C19" s="65">
        <v>0</v>
      </c>
      <c r="D19" s="68">
        <v>-44</v>
      </c>
      <c r="E19" s="65">
        <f>-44-D19-C19</f>
        <v>0</v>
      </c>
      <c r="F19" s="65">
        <f t="shared" si="1"/>
        <v>0</v>
      </c>
      <c r="G19" s="99">
        <v>-44</v>
      </c>
      <c r="H19" s="65">
        <v>0</v>
      </c>
      <c r="I19" s="68">
        <f>-85-H19</f>
        <v>-85</v>
      </c>
      <c r="J19" s="68">
        <f>-131-H19-I19</f>
        <v>-46</v>
      </c>
      <c r="K19" s="65">
        <f>L19-SUM(H19:J19)</f>
        <v>462</v>
      </c>
      <c r="L19" s="98">
        <v>331</v>
      </c>
      <c r="M19" s="65">
        <v>0</v>
      </c>
      <c r="N19" s="65">
        <v>0</v>
      </c>
      <c r="O19" s="65">
        <v>0</v>
      </c>
      <c r="P19" s="65">
        <f t="shared" si="3"/>
        <v>0</v>
      </c>
      <c r="Q19" s="98">
        <v>0</v>
      </c>
      <c r="R19" s="65">
        <v>0</v>
      </c>
      <c r="S19" s="68">
        <v>-108</v>
      </c>
      <c r="T19" s="68">
        <v>0</v>
      </c>
      <c r="U19" s="68">
        <f t="shared" si="0"/>
        <v>0</v>
      </c>
      <c r="V19" s="98">
        <v>-108</v>
      </c>
      <c r="W19" s="65">
        <v>0</v>
      </c>
      <c r="X19" s="65">
        <v>0</v>
      </c>
      <c r="Y19" s="65">
        <v>0</v>
      </c>
      <c r="Z19" s="68">
        <v>0</v>
      </c>
      <c r="AA19" s="98">
        <v>0</v>
      </c>
      <c r="AB19" s="68">
        <v>0</v>
      </c>
      <c r="AC19" s="68">
        <v>0</v>
      </c>
      <c r="AD19" s="68">
        <v>0</v>
      </c>
      <c r="AE19" s="68">
        <v>0</v>
      </c>
      <c r="AF19" s="98">
        <v>0</v>
      </c>
      <c r="AG19" s="68">
        <v>0</v>
      </c>
      <c r="AH19" s="98">
        <f t="shared" si="4"/>
        <v>0</v>
      </c>
    </row>
    <row r="20" spans="2:34" x14ac:dyDescent="0.25">
      <c r="B20" s="109" t="s">
        <v>84</v>
      </c>
      <c r="C20" s="68">
        <v>-58</v>
      </c>
      <c r="D20" s="65">
        <f>130-C20</f>
        <v>188</v>
      </c>
      <c r="E20" s="65">
        <f>578-C20-D20</f>
        <v>448</v>
      </c>
      <c r="F20" s="65">
        <f t="shared" si="1"/>
        <v>474</v>
      </c>
      <c r="G20" s="98">
        <v>1052</v>
      </c>
      <c r="H20" s="65">
        <v>349</v>
      </c>
      <c r="I20" s="65">
        <f>508-H20</f>
        <v>159</v>
      </c>
      <c r="J20" s="65">
        <f>1095-H20-I20</f>
        <v>587</v>
      </c>
      <c r="K20" s="65">
        <f t="shared" si="2"/>
        <v>911</v>
      </c>
      <c r="L20" s="98">
        <v>2006</v>
      </c>
      <c r="M20" s="68">
        <v>89</v>
      </c>
      <c r="N20" s="68">
        <v>319</v>
      </c>
      <c r="O20" s="68">
        <f>587-M20-N20</f>
        <v>179</v>
      </c>
      <c r="P20" s="68">
        <f t="shared" si="3"/>
        <v>-55</v>
      </c>
      <c r="Q20" s="98">
        <v>532</v>
      </c>
      <c r="R20" s="65">
        <v>142</v>
      </c>
      <c r="S20" s="65">
        <v>282</v>
      </c>
      <c r="T20" s="65">
        <v>319</v>
      </c>
      <c r="U20" s="65">
        <f t="shared" si="0"/>
        <v>-233</v>
      </c>
      <c r="V20" s="98">
        <v>510</v>
      </c>
      <c r="W20" s="65">
        <v>1389</v>
      </c>
      <c r="X20" s="65">
        <v>334.32687491477645</v>
      </c>
      <c r="Y20" s="65">
        <v>294</v>
      </c>
      <c r="Z20" s="65">
        <v>48.673125085223546</v>
      </c>
      <c r="AA20" s="98">
        <v>2066</v>
      </c>
      <c r="AB20" s="65">
        <v>536</v>
      </c>
      <c r="AC20" s="77">
        <v>-1213</v>
      </c>
      <c r="AD20" s="77">
        <v>1240</v>
      </c>
      <c r="AE20" s="77">
        <f>1629-340</f>
        <v>1289</v>
      </c>
      <c r="AF20" s="99">
        <f>SUM(AB20:AE20)</f>
        <v>1852</v>
      </c>
      <c r="AG20" s="77">
        <v>-59</v>
      </c>
      <c r="AH20" s="99">
        <f t="shared" si="4"/>
        <v>-59</v>
      </c>
    </row>
    <row r="21" spans="2:34" x14ac:dyDescent="0.25">
      <c r="B21" s="109" t="s">
        <v>121</v>
      </c>
      <c r="C21" s="65">
        <v>0</v>
      </c>
      <c r="D21" s="65">
        <v>0</v>
      </c>
      <c r="E21" s="65">
        <v>0</v>
      </c>
      <c r="F21" s="65">
        <v>0</v>
      </c>
      <c r="G21" s="98"/>
      <c r="H21" s="65">
        <v>0</v>
      </c>
      <c r="I21" s="65">
        <v>0</v>
      </c>
      <c r="J21" s="65">
        <f>0-I21-H21</f>
        <v>0</v>
      </c>
      <c r="K21" s="65">
        <f t="shared" si="2"/>
        <v>0</v>
      </c>
      <c r="L21" s="98">
        <v>0</v>
      </c>
      <c r="M21" s="65">
        <v>0</v>
      </c>
      <c r="N21" s="65">
        <v>0</v>
      </c>
      <c r="O21" s="65">
        <v>0</v>
      </c>
      <c r="P21" s="65">
        <f t="shared" si="3"/>
        <v>0</v>
      </c>
      <c r="Q21" s="98">
        <v>0</v>
      </c>
      <c r="R21" s="65">
        <v>0</v>
      </c>
      <c r="S21" s="65">
        <v>0</v>
      </c>
      <c r="T21" s="65">
        <v>0</v>
      </c>
      <c r="U21" s="65">
        <f t="shared" si="0"/>
        <v>0</v>
      </c>
      <c r="V21" s="98">
        <v>0</v>
      </c>
      <c r="W21" s="65">
        <v>0</v>
      </c>
      <c r="X21" s="65">
        <v>0</v>
      </c>
      <c r="Y21" s="65">
        <v>0</v>
      </c>
      <c r="Z21" s="65">
        <v>0</v>
      </c>
      <c r="AA21" s="98">
        <v>0</v>
      </c>
      <c r="AB21" s="65">
        <v>0</v>
      </c>
      <c r="AC21" s="65">
        <v>0</v>
      </c>
      <c r="AD21" s="65">
        <v>0</v>
      </c>
      <c r="AE21" s="65">
        <v>0</v>
      </c>
      <c r="AF21" s="98">
        <v>0</v>
      </c>
      <c r="AG21" s="65">
        <v>0</v>
      </c>
      <c r="AH21" s="98">
        <f t="shared" si="4"/>
        <v>0</v>
      </c>
    </row>
    <row r="22" spans="2:34" x14ac:dyDescent="0.25">
      <c r="B22" s="109" t="s">
        <v>115</v>
      </c>
      <c r="C22" s="68">
        <v>-10</v>
      </c>
      <c r="D22" s="65">
        <f>57-C22</f>
        <v>67</v>
      </c>
      <c r="E22" s="68">
        <f>51-C22-D22</f>
        <v>-6</v>
      </c>
      <c r="F22" s="65">
        <f t="shared" si="1"/>
        <v>2101</v>
      </c>
      <c r="G22" s="98">
        <f>988+1164</f>
        <v>2152</v>
      </c>
      <c r="H22" s="68">
        <v>-26</v>
      </c>
      <c r="I22" s="78">
        <f>-37-H22</f>
        <v>-11</v>
      </c>
      <c r="J22" s="68">
        <f>-51-I22-H22</f>
        <v>-14</v>
      </c>
      <c r="K22" s="65">
        <f t="shared" si="2"/>
        <v>28</v>
      </c>
      <c r="L22" s="99">
        <v>-23</v>
      </c>
      <c r="M22" s="68">
        <v>-7</v>
      </c>
      <c r="N22" s="68">
        <f>-11-M22</f>
        <v>-4</v>
      </c>
      <c r="O22" s="68">
        <f>-16-M22-N22</f>
        <v>-5</v>
      </c>
      <c r="P22" s="68">
        <f t="shared" si="3"/>
        <v>-37</v>
      </c>
      <c r="Q22" s="99">
        <v>-53</v>
      </c>
      <c r="R22" s="68">
        <v>-9</v>
      </c>
      <c r="S22" s="68">
        <v>-6</v>
      </c>
      <c r="T22" s="68">
        <v>561</v>
      </c>
      <c r="U22" s="68">
        <f t="shared" si="0"/>
        <v>168</v>
      </c>
      <c r="V22" s="99">
        <v>714</v>
      </c>
      <c r="W22" s="68">
        <v>2155</v>
      </c>
      <c r="X22" s="68">
        <v>273</v>
      </c>
      <c r="Y22" s="68">
        <v>364</v>
      </c>
      <c r="Z22" s="68">
        <v>-15</v>
      </c>
      <c r="AA22" s="99">
        <v>2777</v>
      </c>
      <c r="AB22" s="68">
        <v>123</v>
      </c>
      <c r="AC22" s="68">
        <v>13</v>
      </c>
      <c r="AD22" s="68">
        <v>32</v>
      </c>
      <c r="AE22" s="68">
        <v>100</v>
      </c>
      <c r="AF22" s="99">
        <f>-559+827</f>
        <v>268</v>
      </c>
      <c r="AG22" s="68">
        <v>-874</v>
      </c>
      <c r="AH22" s="99">
        <f t="shared" si="4"/>
        <v>-874</v>
      </c>
    </row>
    <row r="23" spans="2:34" x14ac:dyDescent="0.25">
      <c r="B23" s="109" t="s">
        <v>87</v>
      </c>
      <c r="C23" s="68">
        <v>-38</v>
      </c>
      <c r="D23" s="68">
        <f>-43-C23</f>
        <v>-5</v>
      </c>
      <c r="E23" s="65">
        <f>-40-C23-D23</f>
        <v>3</v>
      </c>
      <c r="F23" s="68">
        <f t="shared" si="1"/>
        <v>-109</v>
      </c>
      <c r="G23" s="99">
        <v>-149</v>
      </c>
      <c r="H23" s="65">
        <v>24</v>
      </c>
      <c r="I23" s="68">
        <f>14-H23</f>
        <v>-10</v>
      </c>
      <c r="J23" s="65">
        <f>40-I23-H23</f>
        <v>26</v>
      </c>
      <c r="K23" s="68">
        <f t="shared" si="2"/>
        <v>-44</v>
      </c>
      <c r="L23" s="99">
        <v>-4</v>
      </c>
      <c r="M23" s="65">
        <v>-7</v>
      </c>
      <c r="N23" s="65">
        <v>0</v>
      </c>
      <c r="O23" s="65">
        <f>-51-M23-N23</f>
        <v>-44</v>
      </c>
      <c r="P23" s="65">
        <f t="shared" si="3"/>
        <v>9</v>
      </c>
      <c r="Q23" s="99">
        <v>-42</v>
      </c>
      <c r="R23" s="65">
        <v>2</v>
      </c>
      <c r="S23" s="68">
        <v>-33</v>
      </c>
      <c r="T23" s="68">
        <v>-14</v>
      </c>
      <c r="U23" s="68">
        <f t="shared" si="0"/>
        <v>37</v>
      </c>
      <c r="V23" s="99">
        <v>-8</v>
      </c>
      <c r="W23" s="65">
        <v>0</v>
      </c>
      <c r="X23" s="65">
        <v>6</v>
      </c>
      <c r="Y23" s="65">
        <v>30</v>
      </c>
      <c r="Z23" s="68">
        <v>38</v>
      </c>
      <c r="AA23" s="99">
        <v>74</v>
      </c>
      <c r="AB23" s="68">
        <v>-99</v>
      </c>
      <c r="AC23" s="68">
        <v>-43</v>
      </c>
      <c r="AD23" s="68">
        <v>-245</v>
      </c>
      <c r="AE23" s="68">
        <v>491</v>
      </c>
      <c r="AF23" s="99">
        <v>104</v>
      </c>
      <c r="AG23" s="68">
        <v>28</v>
      </c>
      <c r="AH23" s="99">
        <f t="shared" si="4"/>
        <v>28</v>
      </c>
    </row>
    <row r="24" spans="2:34" x14ac:dyDescent="0.25">
      <c r="B24" s="109" t="s">
        <v>116</v>
      </c>
      <c r="C24" s="68">
        <v>-302</v>
      </c>
      <c r="D24" s="68">
        <f>-312-C24</f>
        <v>-10</v>
      </c>
      <c r="E24" s="65">
        <f>-312-C24-D24</f>
        <v>0</v>
      </c>
      <c r="F24" s="65">
        <f t="shared" si="1"/>
        <v>0</v>
      </c>
      <c r="G24" s="99">
        <v>-312</v>
      </c>
      <c r="H24" s="65">
        <v>0</v>
      </c>
      <c r="I24" s="68">
        <f>-16-H24</f>
        <v>-16</v>
      </c>
      <c r="J24" s="65">
        <f>-16-I24-H24</f>
        <v>0</v>
      </c>
      <c r="K24" s="68">
        <f t="shared" si="2"/>
        <v>-609</v>
      </c>
      <c r="L24" s="99">
        <v>-625</v>
      </c>
      <c r="M24" s="68">
        <v>0</v>
      </c>
      <c r="N24" s="68">
        <v>-7</v>
      </c>
      <c r="O24" s="68">
        <f>-8-M24-N24</f>
        <v>-1</v>
      </c>
      <c r="P24" s="68">
        <f t="shared" si="3"/>
        <v>-118</v>
      </c>
      <c r="Q24" s="99">
        <v>-126</v>
      </c>
      <c r="R24" s="65">
        <v>0</v>
      </c>
      <c r="S24" s="65">
        <v>50</v>
      </c>
      <c r="T24" s="65">
        <v>0</v>
      </c>
      <c r="U24" s="65">
        <f t="shared" si="0"/>
        <v>2</v>
      </c>
      <c r="V24" s="99">
        <v>52</v>
      </c>
      <c r="W24" s="65">
        <v>0</v>
      </c>
      <c r="X24" s="65">
        <v>0</v>
      </c>
      <c r="Y24" s="65">
        <v>0</v>
      </c>
      <c r="Z24" s="65">
        <v>0</v>
      </c>
      <c r="AA24" s="99">
        <v>0</v>
      </c>
      <c r="AB24" s="65">
        <v>0</v>
      </c>
      <c r="AC24" s="65">
        <v>0</v>
      </c>
      <c r="AD24" s="65">
        <v>0</v>
      </c>
      <c r="AE24" s="65">
        <v>0</v>
      </c>
      <c r="AF24" s="99">
        <v>0</v>
      </c>
      <c r="AG24" s="65">
        <v>757</v>
      </c>
      <c r="AH24" s="99">
        <f t="shared" si="4"/>
        <v>757</v>
      </c>
    </row>
    <row r="25" spans="2:34" x14ac:dyDescent="0.25">
      <c r="B25" s="109" t="s">
        <v>122</v>
      </c>
      <c r="C25" s="65">
        <v>0</v>
      </c>
      <c r="D25" s="65">
        <v>0</v>
      </c>
      <c r="E25" s="65">
        <v>0</v>
      </c>
      <c r="F25" s="65">
        <v>0</v>
      </c>
      <c r="G25" s="98">
        <v>0</v>
      </c>
      <c r="H25" s="65">
        <v>0</v>
      </c>
      <c r="I25" s="65">
        <v>0</v>
      </c>
      <c r="J25" s="65">
        <f>0-I25-H25</f>
        <v>0</v>
      </c>
      <c r="K25" s="65">
        <f t="shared" si="2"/>
        <v>0</v>
      </c>
      <c r="L25" s="98">
        <v>0</v>
      </c>
      <c r="M25" s="65">
        <v>0</v>
      </c>
      <c r="N25" s="65">
        <v>0</v>
      </c>
      <c r="O25" s="65">
        <f>0-M25-N25</f>
        <v>0</v>
      </c>
      <c r="P25" s="65">
        <f t="shared" si="3"/>
        <v>0</v>
      </c>
      <c r="Q25" s="98">
        <v>0</v>
      </c>
      <c r="R25" s="65">
        <v>0</v>
      </c>
      <c r="S25" s="65">
        <v>0</v>
      </c>
      <c r="T25" s="65">
        <v>0</v>
      </c>
      <c r="U25" s="65">
        <f t="shared" si="0"/>
        <v>0</v>
      </c>
      <c r="V25" s="98">
        <v>0</v>
      </c>
      <c r="W25" s="65">
        <v>0</v>
      </c>
      <c r="X25" s="65">
        <v>0</v>
      </c>
      <c r="Y25" s="65">
        <v>0</v>
      </c>
      <c r="Z25" s="65">
        <v>0</v>
      </c>
      <c r="AA25" s="98">
        <v>0</v>
      </c>
      <c r="AB25" s="65">
        <v>0</v>
      </c>
      <c r="AC25" s="65">
        <v>0</v>
      </c>
      <c r="AD25" s="65">
        <v>0</v>
      </c>
      <c r="AE25" s="65">
        <v>0</v>
      </c>
      <c r="AF25" s="98">
        <v>0</v>
      </c>
      <c r="AG25" s="65">
        <v>0</v>
      </c>
      <c r="AH25" s="98">
        <f t="shared" si="4"/>
        <v>0</v>
      </c>
    </row>
    <row r="26" spans="2:34" s="86" customFormat="1" x14ac:dyDescent="0.25">
      <c r="B26" s="110" t="s">
        <v>117</v>
      </c>
      <c r="C26" s="77">
        <v>0</v>
      </c>
      <c r="D26" s="77">
        <v>38</v>
      </c>
      <c r="E26" s="77">
        <f>42-C26-D26</f>
        <v>4</v>
      </c>
      <c r="F26" s="78">
        <f t="shared" si="1"/>
        <v>-38</v>
      </c>
      <c r="G26" s="98">
        <v>4</v>
      </c>
      <c r="H26" s="78">
        <v>-2</v>
      </c>
      <c r="I26" s="77">
        <f>3-H26</f>
        <v>5</v>
      </c>
      <c r="J26" s="77">
        <f>5-I26-H26</f>
        <v>2</v>
      </c>
      <c r="K26" s="78">
        <f t="shared" si="2"/>
        <v>-5</v>
      </c>
      <c r="L26" s="98">
        <v>0</v>
      </c>
      <c r="M26" s="78">
        <v>36</v>
      </c>
      <c r="N26" s="78">
        <v>46</v>
      </c>
      <c r="O26" s="78">
        <v>-10</v>
      </c>
      <c r="P26" s="78">
        <f t="shared" si="3"/>
        <v>-57</v>
      </c>
      <c r="Q26" s="98">
        <v>15</v>
      </c>
      <c r="R26" s="77">
        <v>0</v>
      </c>
      <c r="S26" s="77">
        <v>17</v>
      </c>
      <c r="T26" s="77">
        <v>22</v>
      </c>
      <c r="U26" s="77">
        <f t="shared" si="0"/>
        <v>-22</v>
      </c>
      <c r="V26" s="98">
        <v>17</v>
      </c>
      <c r="W26" s="77">
        <v>0</v>
      </c>
      <c r="X26" s="77">
        <v>0</v>
      </c>
      <c r="Y26" s="77">
        <v>0</v>
      </c>
      <c r="Z26" s="77">
        <v>-44</v>
      </c>
      <c r="AA26" s="98">
        <v>-44</v>
      </c>
      <c r="AB26" s="77">
        <v>0</v>
      </c>
      <c r="AC26" s="77">
        <v>0</v>
      </c>
      <c r="AD26" s="77">
        <v>0</v>
      </c>
      <c r="AE26" s="77">
        <v>0</v>
      </c>
      <c r="AF26" s="98">
        <v>0</v>
      </c>
      <c r="AG26" s="77">
        <v>0</v>
      </c>
      <c r="AH26" s="98">
        <f t="shared" si="4"/>
        <v>0</v>
      </c>
    </row>
    <row r="27" spans="2:34" s="112" customFormat="1" x14ac:dyDescent="0.25">
      <c r="B27" s="111" t="s">
        <v>128</v>
      </c>
      <c r="C27" s="78">
        <v>-24</v>
      </c>
      <c r="D27" s="78">
        <f>-57-C27</f>
        <v>-33</v>
      </c>
      <c r="E27" s="77">
        <f>-27-C27-D27</f>
        <v>30</v>
      </c>
      <c r="F27" s="77">
        <f t="shared" si="1"/>
        <v>1</v>
      </c>
      <c r="G27" s="99">
        <v>-26</v>
      </c>
      <c r="H27" s="77">
        <v>17</v>
      </c>
      <c r="I27" s="77">
        <f>38-H27</f>
        <v>21</v>
      </c>
      <c r="J27" s="77">
        <f>58-H27-I27</f>
        <v>20</v>
      </c>
      <c r="K27" s="78">
        <f t="shared" si="2"/>
        <v>-11</v>
      </c>
      <c r="L27" s="98">
        <v>47</v>
      </c>
      <c r="M27" s="78">
        <v>-17</v>
      </c>
      <c r="N27" s="78">
        <f>-39-M27</f>
        <v>-22</v>
      </c>
      <c r="O27" s="78">
        <f>-11-M27-N27</f>
        <v>28</v>
      </c>
      <c r="P27" s="78">
        <f t="shared" si="3"/>
        <v>-17</v>
      </c>
      <c r="Q27" s="99">
        <v>-28</v>
      </c>
      <c r="R27" s="78">
        <v>-9</v>
      </c>
      <c r="S27" s="78">
        <v>9</v>
      </c>
      <c r="T27" s="78">
        <v>0</v>
      </c>
      <c r="U27" s="78">
        <f t="shared" si="0"/>
        <v>22</v>
      </c>
      <c r="V27" s="99">
        <v>22</v>
      </c>
      <c r="W27" s="78">
        <v>-135</v>
      </c>
      <c r="X27" s="78">
        <v>-59</v>
      </c>
      <c r="Y27" s="78">
        <v>81</v>
      </c>
      <c r="Z27" s="78">
        <v>208</v>
      </c>
      <c r="AA27" s="99">
        <v>95</v>
      </c>
      <c r="AB27" s="78">
        <v>-65</v>
      </c>
      <c r="AC27" s="78">
        <v>18</v>
      </c>
      <c r="AD27" s="78">
        <v>-13</v>
      </c>
      <c r="AE27" s="78">
        <v>7</v>
      </c>
      <c r="AF27" s="99">
        <v>-53</v>
      </c>
      <c r="AG27" s="78">
        <v>8</v>
      </c>
      <c r="AH27" s="99">
        <f t="shared" si="4"/>
        <v>8</v>
      </c>
    </row>
    <row r="28" spans="2:34" s="114" customFormat="1" x14ac:dyDescent="0.25">
      <c r="B28" s="113" t="s">
        <v>119</v>
      </c>
      <c r="C28" s="65">
        <v>0</v>
      </c>
      <c r="D28" s="65">
        <v>0</v>
      </c>
      <c r="E28" s="68">
        <v>-172</v>
      </c>
      <c r="F28" s="68">
        <f t="shared" si="1"/>
        <v>-1</v>
      </c>
      <c r="G28" s="99">
        <v>-173</v>
      </c>
      <c r="H28" s="65">
        <v>0</v>
      </c>
      <c r="I28" s="65">
        <v>0</v>
      </c>
      <c r="J28" s="65">
        <v>0</v>
      </c>
      <c r="K28" s="65">
        <f t="shared" si="2"/>
        <v>0</v>
      </c>
      <c r="L28" s="98">
        <v>0</v>
      </c>
      <c r="M28" s="65">
        <v>0</v>
      </c>
      <c r="N28" s="65">
        <v>0</v>
      </c>
      <c r="O28" s="65">
        <v>0</v>
      </c>
      <c r="P28" s="65">
        <f t="shared" si="3"/>
        <v>0</v>
      </c>
      <c r="Q28" s="99">
        <v>0</v>
      </c>
      <c r="R28" s="65">
        <v>0</v>
      </c>
      <c r="S28" s="68">
        <v>0</v>
      </c>
      <c r="T28" s="68">
        <v>0</v>
      </c>
      <c r="U28" s="68">
        <f t="shared" si="0"/>
        <v>0</v>
      </c>
      <c r="V28" s="99">
        <v>0</v>
      </c>
      <c r="W28" s="65">
        <v>0</v>
      </c>
      <c r="X28" s="65">
        <v>0</v>
      </c>
      <c r="Y28" s="65">
        <v>0</v>
      </c>
      <c r="Z28" s="68">
        <v>0</v>
      </c>
      <c r="AA28" s="99">
        <v>0</v>
      </c>
      <c r="AB28" s="68">
        <v>0</v>
      </c>
      <c r="AC28" s="68">
        <v>0</v>
      </c>
      <c r="AD28" s="68">
        <v>0</v>
      </c>
      <c r="AE28" s="68">
        <v>0</v>
      </c>
      <c r="AF28" s="99">
        <v>0</v>
      </c>
      <c r="AG28" s="68">
        <v>0</v>
      </c>
      <c r="AH28" s="99">
        <f t="shared" si="4"/>
        <v>0</v>
      </c>
    </row>
    <row r="29" spans="2:34" s="114" customFormat="1" x14ac:dyDescent="0.25">
      <c r="B29" s="113" t="s">
        <v>120</v>
      </c>
      <c r="C29" s="68">
        <v>-30</v>
      </c>
      <c r="D29" s="65">
        <f>-18-C29</f>
        <v>12</v>
      </c>
      <c r="E29" s="68">
        <f>-38-C29-D29</f>
        <v>-20</v>
      </c>
      <c r="F29" s="65">
        <f t="shared" si="1"/>
        <v>422</v>
      </c>
      <c r="G29" s="98">
        <v>384</v>
      </c>
      <c r="H29" s="65">
        <v>109</v>
      </c>
      <c r="I29" s="68">
        <f>-162-H29</f>
        <v>-271</v>
      </c>
      <c r="J29" s="68">
        <f>-451-I29-H29</f>
        <v>-289</v>
      </c>
      <c r="K29" s="65">
        <f t="shared" si="2"/>
        <v>173</v>
      </c>
      <c r="L29" s="99">
        <v>-278</v>
      </c>
      <c r="M29" s="65">
        <v>106</v>
      </c>
      <c r="N29" s="65">
        <f>156-M29</f>
        <v>50</v>
      </c>
      <c r="O29" s="65">
        <f>37-M29-N29</f>
        <v>-119</v>
      </c>
      <c r="P29" s="65">
        <f t="shared" si="3"/>
        <v>83</v>
      </c>
      <c r="Q29" s="99">
        <v>120</v>
      </c>
      <c r="R29" s="68">
        <v>135</v>
      </c>
      <c r="S29" s="68">
        <v>-71</v>
      </c>
      <c r="T29" s="68">
        <v>22</v>
      </c>
      <c r="U29" s="68">
        <f t="shared" si="0"/>
        <v>12</v>
      </c>
      <c r="V29" s="99">
        <v>98</v>
      </c>
      <c r="W29" s="68">
        <v>70</v>
      </c>
      <c r="X29" s="68">
        <v>-18</v>
      </c>
      <c r="Y29" s="68">
        <v>86</v>
      </c>
      <c r="Z29" s="68">
        <v>64</v>
      </c>
      <c r="AA29" s="99">
        <v>202</v>
      </c>
      <c r="AB29" s="68">
        <v>95</v>
      </c>
      <c r="AC29" s="68">
        <v>233</v>
      </c>
      <c r="AD29" s="68">
        <v>-4</v>
      </c>
      <c r="AE29" s="68">
        <v>278</v>
      </c>
      <c r="AF29" s="99">
        <v>602</v>
      </c>
      <c r="AG29" s="68">
        <v>109</v>
      </c>
      <c r="AH29" s="99">
        <f t="shared" si="4"/>
        <v>109</v>
      </c>
    </row>
    <row r="30" spans="2:34" x14ac:dyDescent="0.25">
      <c r="B30" s="109" t="s">
        <v>91</v>
      </c>
      <c r="C30" s="65">
        <v>552</v>
      </c>
      <c r="D30" s="65">
        <f>968-C30</f>
        <v>416</v>
      </c>
      <c r="E30" s="68">
        <f>818-C30-D30</f>
        <v>-150</v>
      </c>
      <c r="F30" s="68">
        <f t="shared" si="1"/>
        <v>-27</v>
      </c>
      <c r="G30" s="98">
        <v>791</v>
      </c>
      <c r="H30" s="65">
        <v>137</v>
      </c>
      <c r="I30" s="68">
        <f>51-H30</f>
        <v>-86</v>
      </c>
      <c r="J30" s="65">
        <f>81-H30-I30</f>
        <v>30</v>
      </c>
      <c r="K30" s="68">
        <f t="shared" si="2"/>
        <v>-400</v>
      </c>
      <c r="L30" s="99">
        <v>-319</v>
      </c>
      <c r="M30" s="68">
        <v>-86</v>
      </c>
      <c r="N30" s="68">
        <f>-58-M30</f>
        <v>28</v>
      </c>
      <c r="O30" s="68">
        <f>-37-M30-N30</f>
        <v>21</v>
      </c>
      <c r="P30" s="68">
        <f t="shared" si="3"/>
        <v>-125</v>
      </c>
      <c r="Q30" s="99">
        <v>-162</v>
      </c>
      <c r="R30" s="65">
        <v>60</v>
      </c>
      <c r="S30" s="65">
        <v>128</v>
      </c>
      <c r="T30" s="65">
        <v>132</v>
      </c>
      <c r="U30" s="65">
        <f t="shared" si="0"/>
        <v>-168</v>
      </c>
      <c r="V30" s="99">
        <v>152</v>
      </c>
      <c r="W30" s="65">
        <v>-161</v>
      </c>
      <c r="X30" s="65">
        <v>5</v>
      </c>
      <c r="Y30" s="65">
        <v>313</v>
      </c>
      <c r="Z30" s="65">
        <v>95</v>
      </c>
      <c r="AA30" s="99">
        <v>252</v>
      </c>
      <c r="AB30" s="65">
        <v>224</v>
      </c>
      <c r="AC30" s="65">
        <v>1001</v>
      </c>
      <c r="AD30" s="65">
        <v>492</v>
      </c>
      <c r="AE30" s="65">
        <v>-1651</v>
      </c>
      <c r="AF30" s="99">
        <v>66</v>
      </c>
      <c r="AG30" s="65">
        <v>96</v>
      </c>
      <c r="AH30" s="99">
        <f t="shared" si="4"/>
        <v>96</v>
      </c>
    </row>
    <row r="31" spans="2:34" x14ac:dyDescent="0.25">
      <c r="B31" s="109" t="s">
        <v>187</v>
      </c>
      <c r="C31" s="65">
        <v>40</v>
      </c>
      <c r="D31" s="68">
        <f>34-C31</f>
        <v>-6</v>
      </c>
      <c r="E31" s="65">
        <f>166-D31-C31</f>
        <v>132</v>
      </c>
      <c r="F31" s="65">
        <f t="shared" si="1"/>
        <v>87</v>
      </c>
      <c r="G31" s="98">
        <v>253</v>
      </c>
      <c r="H31" s="65">
        <v>212</v>
      </c>
      <c r="I31" s="65">
        <f>314-H31</f>
        <v>102</v>
      </c>
      <c r="J31" s="65">
        <f>347-I31-H31</f>
        <v>33</v>
      </c>
      <c r="K31" s="65">
        <f t="shared" si="2"/>
        <v>175</v>
      </c>
      <c r="L31" s="98">
        <v>522</v>
      </c>
      <c r="M31" s="65">
        <v>81</v>
      </c>
      <c r="N31" s="65">
        <f>106-M31</f>
        <v>25</v>
      </c>
      <c r="O31" s="65">
        <f>100-M31-N31</f>
        <v>-6</v>
      </c>
      <c r="P31" s="65">
        <f t="shared" si="3"/>
        <v>32</v>
      </c>
      <c r="Q31" s="98">
        <v>132</v>
      </c>
      <c r="R31" s="65">
        <v>48</v>
      </c>
      <c r="S31" s="65">
        <v>32</v>
      </c>
      <c r="T31" s="65">
        <v>16</v>
      </c>
      <c r="U31" s="65">
        <f t="shared" si="0"/>
        <v>99</v>
      </c>
      <c r="V31" s="98">
        <v>195</v>
      </c>
      <c r="W31" s="65">
        <v>-34</v>
      </c>
      <c r="X31" s="65">
        <v>37</v>
      </c>
      <c r="Y31" s="65">
        <v>-57</v>
      </c>
      <c r="Z31" s="65">
        <v>108</v>
      </c>
      <c r="AA31" s="98">
        <v>54</v>
      </c>
      <c r="AB31" s="65">
        <v>26</v>
      </c>
      <c r="AC31" s="65">
        <v>-225</v>
      </c>
      <c r="AD31" s="65">
        <v>-29</v>
      </c>
      <c r="AE31" s="65">
        <v>57</v>
      </c>
      <c r="AF31" s="98">
        <v>-171</v>
      </c>
      <c r="AG31" s="65">
        <v>39</v>
      </c>
      <c r="AH31" s="98">
        <f t="shared" si="4"/>
        <v>39</v>
      </c>
    </row>
    <row r="32" spans="2:34" x14ac:dyDescent="0.25">
      <c r="B32" s="109" t="s">
        <v>129</v>
      </c>
      <c r="C32" s="65">
        <v>0</v>
      </c>
      <c r="D32" s="65">
        <v>0</v>
      </c>
      <c r="E32" s="65">
        <v>0</v>
      </c>
      <c r="F32" s="65">
        <v>0</v>
      </c>
      <c r="G32" s="98">
        <v>0</v>
      </c>
      <c r="H32" s="65">
        <v>0</v>
      </c>
      <c r="I32" s="65">
        <v>0</v>
      </c>
      <c r="J32" s="65">
        <v>0</v>
      </c>
      <c r="K32" s="65">
        <v>0</v>
      </c>
      <c r="L32" s="98">
        <v>0</v>
      </c>
      <c r="M32" s="68">
        <v>0</v>
      </c>
      <c r="N32" s="68">
        <f>-147-M32</f>
        <v>-147</v>
      </c>
      <c r="O32" s="68">
        <f>-147-M32-N32</f>
        <v>0</v>
      </c>
      <c r="P32" s="68">
        <f t="shared" si="3"/>
        <v>-153</v>
      </c>
      <c r="Q32" s="99">
        <v>-300</v>
      </c>
      <c r="R32" s="65">
        <v>0</v>
      </c>
      <c r="S32" s="65">
        <v>0</v>
      </c>
      <c r="T32" s="65">
        <v>0</v>
      </c>
      <c r="U32" s="65">
        <f t="shared" si="0"/>
        <v>0</v>
      </c>
      <c r="V32" s="99">
        <v>0</v>
      </c>
      <c r="W32" s="65">
        <v>0</v>
      </c>
      <c r="X32" s="65">
        <v>0</v>
      </c>
      <c r="Y32" s="65">
        <v>0</v>
      </c>
      <c r="Z32" s="65">
        <v>0</v>
      </c>
      <c r="AA32" s="99">
        <v>0</v>
      </c>
      <c r="AB32" s="65">
        <v>0</v>
      </c>
      <c r="AC32" s="65">
        <v>0</v>
      </c>
      <c r="AD32" s="65">
        <v>0</v>
      </c>
      <c r="AE32" s="65">
        <v>0</v>
      </c>
      <c r="AF32" s="99">
        <v>0</v>
      </c>
      <c r="AG32" s="65">
        <v>0</v>
      </c>
      <c r="AH32" s="99">
        <f t="shared" si="4"/>
        <v>0</v>
      </c>
    </row>
    <row r="33" spans="2:34" x14ac:dyDescent="0.25">
      <c r="B33" s="109" t="s">
        <v>130</v>
      </c>
      <c r="C33" s="65">
        <v>0</v>
      </c>
      <c r="D33" s="65">
        <v>0</v>
      </c>
      <c r="E33" s="65">
        <v>0</v>
      </c>
      <c r="F33" s="65">
        <v>0</v>
      </c>
      <c r="G33" s="98">
        <v>0</v>
      </c>
      <c r="H33" s="65">
        <v>0</v>
      </c>
      <c r="I33" s="65">
        <v>0</v>
      </c>
      <c r="J33" s="65">
        <v>0</v>
      </c>
      <c r="K33" s="65">
        <v>0</v>
      </c>
      <c r="L33" s="98">
        <v>0</v>
      </c>
      <c r="M33" s="68">
        <v>0</v>
      </c>
      <c r="N33" s="68">
        <f>-92-M33</f>
        <v>-92</v>
      </c>
      <c r="O33" s="68">
        <f>-86-M33-N33</f>
        <v>6</v>
      </c>
      <c r="P33" s="68">
        <f t="shared" si="3"/>
        <v>15</v>
      </c>
      <c r="Q33" s="99">
        <v>-71</v>
      </c>
      <c r="R33" s="68">
        <v>-32</v>
      </c>
      <c r="S33" s="65">
        <v>32</v>
      </c>
      <c r="T33" s="65">
        <v>-20</v>
      </c>
      <c r="U33" s="65">
        <f t="shared" si="0"/>
        <v>109</v>
      </c>
      <c r="V33" s="99">
        <v>89</v>
      </c>
      <c r="W33" s="68">
        <v>203</v>
      </c>
      <c r="X33" s="68">
        <v>82</v>
      </c>
      <c r="Y33" s="68">
        <v>122</v>
      </c>
      <c r="Z33" s="65">
        <v>-4</v>
      </c>
      <c r="AA33" s="99">
        <v>403</v>
      </c>
      <c r="AB33" s="65">
        <v>-343</v>
      </c>
      <c r="AC33" s="65">
        <v>-215</v>
      </c>
      <c r="AD33" s="65">
        <v>-101</v>
      </c>
      <c r="AE33" s="65">
        <v>-3793</v>
      </c>
      <c r="AF33" s="99">
        <v>-4452</v>
      </c>
      <c r="AG33" s="65">
        <v>0</v>
      </c>
      <c r="AH33" s="99">
        <f t="shared" si="4"/>
        <v>0</v>
      </c>
    </row>
    <row r="34" spans="2:34" x14ac:dyDescent="0.25">
      <c r="B34" s="109" t="s">
        <v>211</v>
      </c>
      <c r="C34" s="65">
        <v>0</v>
      </c>
      <c r="D34" s="65">
        <v>0</v>
      </c>
      <c r="E34" s="65">
        <v>0</v>
      </c>
      <c r="F34" s="65">
        <v>0</v>
      </c>
      <c r="G34" s="98">
        <v>0</v>
      </c>
      <c r="H34" s="65">
        <v>0</v>
      </c>
      <c r="I34" s="65">
        <v>0</v>
      </c>
      <c r="J34" s="65">
        <v>0</v>
      </c>
      <c r="K34" s="65">
        <v>0</v>
      </c>
      <c r="L34" s="98">
        <v>0</v>
      </c>
      <c r="M34" s="68">
        <v>0</v>
      </c>
      <c r="N34" s="68">
        <v>0</v>
      </c>
      <c r="O34" s="68">
        <v>0</v>
      </c>
      <c r="P34" s="68">
        <f t="shared" si="3"/>
        <v>-69</v>
      </c>
      <c r="Q34" s="99">
        <v>-69</v>
      </c>
      <c r="R34" s="65">
        <v>0</v>
      </c>
      <c r="S34" s="65">
        <v>0</v>
      </c>
      <c r="T34" s="65">
        <v>0</v>
      </c>
      <c r="U34" s="65">
        <f t="shared" si="0"/>
        <v>0</v>
      </c>
      <c r="V34" s="99">
        <v>0</v>
      </c>
      <c r="W34" s="65">
        <v>0</v>
      </c>
      <c r="X34" s="65">
        <v>0</v>
      </c>
      <c r="Y34" s="65">
        <v>0</v>
      </c>
      <c r="Z34" s="65">
        <v>17</v>
      </c>
      <c r="AA34" s="99">
        <v>17</v>
      </c>
      <c r="AB34" s="65">
        <v>21</v>
      </c>
      <c r="AC34" s="65">
        <v>3</v>
      </c>
      <c r="AD34" s="65">
        <v>6</v>
      </c>
      <c r="AE34" s="65">
        <v>352</v>
      </c>
      <c r="AF34" s="99">
        <f>SUM(AB34:AE34)</f>
        <v>382</v>
      </c>
      <c r="AG34" s="65">
        <v>1</v>
      </c>
      <c r="AH34" s="99">
        <f t="shared" si="4"/>
        <v>1</v>
      </c>
    </row>
    <row r="35" spans="2:34" x14ac:dyDescent="0.25">
      <c r="B35" s="109" t="s">
        <v>160</v>
      </c>
      <c r="C35" s="65">
        <v>0</v>
      </c>
      <c r="D35" s="65">
        <v>0</v>
      </c>
      <c r="E35" s="65">
        <v>0</v>
      </c>
      <c r="F35" s="65">
        <v>0</v>
      </c>
      <c r="G35" s="98">
        <v>0</v>
      </c>
      <c r="H35" s="65">
        <v>0</v>
      </c>
      <c r="I35" s="65">
        <v>0</v>
      </c>
      <c r="J35" s="65">
        <v>0</v>
      </c>
      <c r="K35" s="65">
        <v>0</v>
      </c>
      <c r="L35" s="98">
        <v>0</v>
      </c>
      <c r="M35" s="65">
        <v>0</v>
      </c>
      <c r="N35" s="65">
        <v>0</v>
      </c>
      <c r="O35" s="65">
        <v>0</v>
      </c>
      <c r="P35" s="65">
        <v>0</v>
      </c>
      <c r="Q35" s="98">
        <v>0</v>
      </c>
      <c r="R35" s="68">
        <v>-6772</v>
      </c>
      <c r="S35" s="65">
        <v>0</v>
      </c>
      <c r="T35" s="65">
        <v>0</v>
      </c>
      <c r="U35" s="65">
        <f t="shared" si="0"/>
        <v>0</v>
      </c>
      <c r="V35" s="98">
        <v>-6772</v>
      </c>
      <c r="W35" s="68">
        <v>0</v>
      </c>
      <c r="X35" s="68">
        <v>0</v>
      </c>
      <c r="Y35" s="68">
        <v>0</v>
      </c>
      <c r="Z35" s="65">
        <v>-427</v>
      </c>
      <c r="AA35" s="98">
        <v>-427</v>
      </c>
      <c r="AB35" s="65">
        <v>-629</v>
      </c>
      <c r="AC35" s="65">
        <v>0</v>
      </c>
      <c r="AD35" s="65">
        <v>0</v>
      </c>
      <c r="AE35" s="65">
        <v>0</v>
      </c>
      <c r="AF35" s="98">
        <v>-629</v>
      </c>
      <c r="AG35" s="65">
        <v>0</v>
      </c>
      <c r="AH35" s="98">
        <f t="shared" si="4"/>
        <v>0</v>
      </c>
    </row>
    <row r="36" spans="2:34" x14ac:dyDescent="0.25">
      <c r="B36" s="130" t="s">
        <v>168</v>
      </c>
      <c r="C36" s="65">
        <v>0</v>
      </c>
      <c r="D36" s="65">
        <v>0</v>
      </c>
      <c r="E36" s="65">
        <v>0</v>
      </c>
      <c r="F36" s="65">
        <v>0</v>
      </c>
      <c r="G36" s="98">
        <v>0</v>
      </c>
      <c r="H36" s="65">
        <v>0</v>
      </c>
      <c r="I36" s="65">
        <v>0</v>
      </c>
      <c r="J36" s="65">
        <v>0</v>
      </c>
      <c r="K36" s="65">
        <v>0</v>
      </c>
      <c r="L36" s="98">
        <v>0</v>
      </c>
      <c r="M36" s="68">
        <v>0</v>
      </c>
      <c r="N36" s="68">
        <v>0</v>
      </c>
      <c r="O36" s="68">
        <v>0</v>
      </c>
      <c r="P36" s="68">
        <f t="shared" ref="P36" si="5">Q36-SUM(M36:O36)</f>
        <v>-498</v>
      </c>
      <c r="Q36" s="99">
        <v>-498</v>
      </c>
      <c r="R36" s="68">
        <v>-585</v>
      </c>
      <c r="S36" s="68">
        <v>-117</v>
      </c>
      <c r="T36" s="68">
        <v>-81</v>
      </c>
      <c r="U36" s="68">
        <f t="shared" si="0"/>
        <v>36</v>
      </c>
      <c r="V36" s="99">
        <v>-747</v>
      </c>
      <c r="W36" s="68">
        <v>0</v>
      </c>
      <c r="X36" s="68">
        <v>-156</v>
      </c>
      <c r="Y36" s="68">
        <v>0</v>
      </c>
      <c r="Z36" s="68">
        <v>-12</v>
      </c>
      <c r="AA36" s="99">
        <v>-168</v>
      </c>
      <c r="AB36" s="68">
        <v>0</v>
      </c>
      <c r="AC36" s="68">
        <v>0</v>
      </c>
      <c r="AD36" s="68">
        <v>0</v>
      </c>
      <c r="AE36" s="68">
        <v>0</v>
      </c>
      <c r="AF36" s="99">
        <v>0</v>
      </c>
      <c r="AG36" s="68">
        <v>0</v>
      </c>
      <c r="AH36" s="99">
        <f t="shared" si="4"/>
        <v>0</v>
      </c>
    </row>
    <row r="37" spans="2:34" x14ac:dyDescent="0.25">
      <c r="B37" s="109" t="s">
        <v>88</v>
      </c>
      <c r="C37" s="68">
        <v>-3</v>
      </c>
      <c r="D37" s="68">
        <f>-5-C37</f>
        <v>-2</v>
      </c>
      <c r="E37" s="65">
        <f>-3-D37-C37</f>
        <v>2</v>
      </c>
      <c r="F37" s="65">
        <f t="shared" si="1"/>
        <v>1</v>
      </c>
      <c r="G37" s="99">
        <v>-2</v>
      </c>
      <c r="H37" s="65">
        <v>4</v>
      </c>
      <c r="I37" s="68">
        <f>3-H37</f>
        <v>-1</v>
      </c>
      <c r="J37" s="65">
        <f>8-I37-H37</f>
        <v>5</v>
      </c>
      <c r="K37" s="65">
        <f t="shared" si="2"/>
        <v>0</v>
      </c>
      <c r="L37" s="98">
        <v>8</v>
      </c>
      <c r="M37" s="68">
        <v>0</v>
      </c>
      <c r="N37" s="68">
        <f>6-M37</f>
        <v>6</v>
      </c>
      <c r="O37" s="68">
        <f>5-M37-N37</f>
        <v>-1</v>
      </c>
      <c r="P37" s="68">
        <f t="shared" si="3"/>
        <v>-5</v>
      </c>
      <c r="Q37" s="98">
        <v>0</v>
      </c>
      <c r="R37" s="65">
        <v>0</v>
      </c>
      <c r="S37" s="65">
        <v>0</v>
      </c>
      <c r="T37" s="65">
        <v>0</v>
      </c>
      <c r="U37" s="65">
        <f t="shared" si="0"/>
        <v>0</v>
      </c>
      <c r="V37" s="98">
        <v>0</v>
      </c>
      <c r="W37" s="65">
        <v>0</v>
      </c>
      <c r="X37" s="65">
        <v>0</v>
      </c>
      <c r="Y37" s="65">
        <v>0</v>
      </c>
      <c r="Z37" s="65">
        <v>0</v>
      </c>
      <c r="AA37" s="98">
        <v>0</v>
      </c>
      <c r="AB37" s="65">
        <v>0</v>
      </c>
      <c r="AC37" s="65">
        <v>0</v>
      </c>
      <c r="AD37" s="65">
        <v>0</v>
      </c>
      <c r="AE37" s="65">
        <v>0</v>
      </c>
      <c r="AF37" s="98">
        <v>0</v>
      </c>
      <c r="AG37" s="65">
        <v>0</v>
      </c>
      <c r="AH37" s="98">
        <f t="shared" si="4"/>
        <v>0</v>
      </c>
    </row>
    <row r="38" spans="2:34" x14ac:dyDescent="0.25">
      <c r="B38" s="109" t="s">
        <v>228</v>
      </c>
      <c r="C38" s="68">
        <v>0</v>
      </c>
      <c r="D38" s="68">
        <v>0</v>
      </c>
      <c r="E38" s="65">
        <v>0</v>
      </c>
      <c r="F38" s="65">
        <v>0</v>
      </c>
      <c r="G38" s="99">
        <v>0</v>
      </c>
      <c r="H38" s="65">
        <v>0</v>
      </c>
      <c r="I38" s="68">
        <v>0</v>
      </c>
      <c r="J38" s="65">
        <v>0</v>
      </c>
      <c r="K38" s="65">
        <v>0</v>
      </c>
      <c r="L38" s="98">
        <v>0</v>
      </c>
      <c r="M38" s="68">
        <v>0</v>
      </c>
      <c r="N38" s="68">
        <v>0</v>
      </c>
      <c r="O38" s="68">
        <v>0</v>
      </c>
      <c r="P38" s="68">
        <v>0</v>
      </c>
      <c r="Q38" s="98">
        <v>0</v>
      </c>
      <c r="R38" s="65">
        <v>0</v>
      </c>
      <c r="S38" s="65">
        <v>0</v>
      </c>
      <c r="T38" s="65">
        <v>0</v>
      </c>
      <c r="U38" s="65">
        <v>0</v>
      </c>
      <c r="V38" s="98">
        <v>0</v>
      </c>
      <c r="W38" s="65">
        <v>0</v>
      </c>
      <c r="X38" s="65">
        <v>0</v>
      </c>
      <c r="Y38" s="65">
        <v>0</v>
      </c>
      <c r="Z38" s="65">
        <v>0</v>
      </c>
      <c r="AA38" s="98">
        <v>0</v>
      </c>
      <c r="AB38" s="65">
        <v>0</v>
      </c>
      <c r="AC38" s="65">
        <v>0</v>
      </c>
      <c r="AD38" s="65">
        <v>0</v>
      </c>
      <c r="AE38" s="65">
        <v>-448</v>
      </c>
      <c r="AF38" s="98">
        <v>-448</v>
      </c>
      <c r="AG38" s="65">
        <v>0</v>
      </c>
      <c r="AH38" s="98">
        <f t="shared" si="4"/>
        <v>0</v>
      </c>
    </row>
    <row r="39" spans="2:34" x14ac:dyDescent="0.25">
      <c r="B39" s="109" t="s">
        <v>235</v>
      </c>
      <c r="C39" s="68">
        <v>0</v>
      </c>
      <c r="D39" s="68">
        <v>0</v>
      </c>
      <c r="E39" s="65">
        <v>0</v>
      </c>
      <c r="F39" s="65">
        <v>0</v>
      </c>
      <c r="G39" s="99">
        <v>0</v>
      </c>
      <c r="H39" s="65">
        <v>0</v>
      </c>
      <c r="I39" s="68">
        <v>0</v>
      </c>
      <c r="J39" s="65">
        <v>0</v>
      </c>
      <c r="K39" s="65">
        <v>0</v>
      </c>
      <c r="L39" s="98">
        <v>0</v>
      </c>
      <c r="M39" s="68">
        <v>0</v>
      </c>
      <c r="N39" s="68">
        <v>0</v>
      </c>
      <c r="O39" s="68">
        <v>0</v>
      </c>
      <c r="P39" s="68">
        <v>0</v>
      </c>
      <c r="Q39" s="98">
        <v>0</v>
      </c>
      <c r="R39" s="65">
        <v>0</v>
      </c>
      <c r="S39" s="65">
        <v>0</v>
      </c>
      <c r="T39" s="65">
        <v>0</v>
      </c>
      <c r="U39" s="65">
        <v>0</v>
      </c>
      <c r="V39" s="98">
        <v>0</v>
      </c>
      <c r="W39" s="65">
        <v>0</v>
      </c>
      <c r="X39" s="65">
        <v>0</v>
      </c>
      <c r="Y39" s="65">
        <v>0</v>
      </c>
      <c r="Z39" s="65">
        <v>0</v>
      </c>
      <c r="AA39" s="98">
        <v>0</v>
      </c>
      <c r="AB39" s="65">
        <v>0</v>
      </c>
      <c r="AC39" s="65">
        <v>0</v>
      </c>
      <c r="AD39" s="65">
        <v>0</v>
      </c>
      <c r="AE39" s="65">
        <v>0</v>
      </c>
      <c r="AF39" s="98">
        <v>0</v>
      </c>
      <c r="AG39" s="65">
        <v>102</v>
      </c>
      <c r="AH39" s="98">
        <f t="shared" si="4"/>
        <v>102</v>
      </c>
    </row>
    <row r="40" spans="2:34" x14ac:dyDescent="0.25">
      <c r="B40" s="109" t="s">
        <v>235</v>
      </c>
      <c r="C40" s="68">
        <v>0</v>
      </c>
      <c r="D40" s="68">
        <v>0</v>
      </c>
      <c r="E40" s="65">
        <v>0</v>
      </c>
      <c r="F40" s="65">
        <v>0</v>
      </c>
      <c r="G40" s="99">
        <v>0</v>
      </c>
      <c r="H40" s="65">
        <v>0</v>
      </c>
      <c r="I40" s="68">
        <v>0</v>
      </c>
      <c r="J40" s="65">
        <v>0</v>
      </c>
      <c r="K40" s="65">
        <v>0</v>
      </c>
      <c r="L40" s="98">
        <v>0</v>
      </c>
      <c r="M40" s="68">
        <v>0</v>
      </c>
      <c r="N40" s="68">
        <v>0</v>
      </c>
      <c r="O40" s="68">
        <v>0</v>
      </c>
      <c r="P40" s="68">
        <v>0</v>
      </c>
      <c r="Q40" s="98">
        <v>0</v>
      </c>
      <c r="R40" s="65">
        <v>0</v>
      </c>
      <c r="S40" s="65">
        <v>0</v>
      </c>
      <c r="T40" s="65">
        <v>0</v>
      </c>
      <c r="U40" s="65">
        <v>0</v>
      </c>
      <c r="V40" s="98">
        <v>0</v>
      </c>
      <c r="W40" s="65">
        <v>0</v>
      </c>
      <c r="X40" s="65">
        <v>0</v>
      </c>
      <c r="Y40" s="65">
        <v>0</v>
      </c>
      <c r="Z40" s="65">
        <v>0</v>
      </c>
      <c r="AA40" s="98">
        <v>0</v>
      </c>
      <c r="AB40" s="65">
        <v>0</v>
      </c>
      <c r="AC40" s="65">
        <v>0</v>
      </c>
      <c r="AD40" s="65">
        <v>0</v>
      </c>
      <c r="AE40" s="65">
        <v>0</v>
      </c>
      <c r="AF40" s="98">
        <v>0</v>
      </c>
      <c r="AG40" s="65">
        <v>-1218</v>
      </c>
      <c r="AH40" s="98">
        <f t="shared" si="4"/>
        <v>-1218</v>
      </c>
    </row>
    <row r="41" spans="2:34" s="114" customFormat="1" x14ac:dyDescent="0.25">
      <c r="B41" s="113" t="s">
        <v>171</v>
      </c>
      <c r="C41" s="68">
        <v>0</v>
      </c>
      <c r="D41" s="68">
        <v>0</v>
      </c>
      <c r="E41" s="68">
        <v>0</v>
      </c>
      <c r="F41" s="68">
        <f t="shared" si="1"/>
        <v>0</v>
      </c>
      <c r="G41" s="99">
        <v>0</v>
      </c>
      <c r="H41" s="68">
        <v>0</v>
      </c>
      <c r="I41" s="68">
        <v>0</v>
      </c>
      <c r="J41" s="68">
        <v>0</v>
      </c>
      <c r="K41" s="68">
        <f t="shared" si="2"/>
        <v>0</v>
      </c>
      <c r="L41" s="99">
        <v>0</v>
      </c>
      <c r="M41" s="68">
        <v>0</v>
      </c>
      <c r="N41" s="68">
        <v>0</v>
      </c>
      <c r="O41" s="68">
        <v>0</v>
      </c>
      <c r="P41" s="68">
        <f t="shared" si="3"/>
        <v>0</v>
      </c>
      <c r="Q41" s="99">
        <v>0</v>
      </c>
      <c r="R41" s="68">
        <v>0</v>
      </c>
      <c r="S41" s="68">
        <v>0</v>
      </c>
      <c r="T41" s="68">
        <v>0</v>
      </c>
      <c r="U41" s="68">
        <f t="shared" si="0"/>
        <v>0</v>
      </c>
      <c r="V41" s="99">
        <v>0</v>
      </c>
      <c r="W41" s="68">
        <v>-164</v>
      </c>
      <c r="X41" s="68">
        <v>13</v>
      </c>
      <c r="Y41" s="68">
        <v>0</v>
      </c>
      <c r="Z41" s="68">
        <v>-215</v>
      </c>
      <c r="AA41" s="99">
        <v>-366</v>
      </c>
      <c r="AB41" s="68">
        <v>0</v>
      </c>
      <c r="AC41" s="68">
        <v>-236</v>
      </c>
      <c r="AD41" s="68">
        <v>-186</v>
      </c>
      <c r="AE41" s="68">
        <v>179</v>
      </c>
      <c r="AF41" s="99">
        <v>-243</v>
      </c>
      <c r="AG41" s="68">
        <v>0</v>
      </c>
      <c r="AH41" s="99">
        <f t="shared" si="4"/>
        <v>0</v>
      </c>
    </row>
    <row r="42" spans="2:34" x14ac:dyDescent="0.25">
      <c r="B42" s="109"/>
      <c r="C42" s="79">
        <f t="shared" ref="C42:V42" si="6">SUM(C9:C41)</f>
        <v>810</v>
      </c>
      <c r="D42" s="79">
        <f t="shared" si="6"/>
        <v>1294</v>
      </c>
      <c r="E42" s="79">
        <f t="shared" si="6"/>
        <v>1117</v>
      </c>
      <c r="F42" s="79">
        <f t="shared" si="6"/>
        <v>948</v>
      </c>
      <c r="G42" s="100">
        <f t="shared" si="6"/>
        <v>4169</v>
      </c>
      <c r="H42" s="79">
        <f t="shared" si="6"/>
        <v>832</v>
      </c>
      <c r="I42" s="79">
        <f t="shared" si="6"/>
        <v>746</v>
      </c>
      <c r="J42" s="79">
        <f t="shared" si="6"/>
        <v>893</v>
      </c>
      <c r="K42" s="79">
        <f t="shared" si="6"/>
        <v>1223</v>
      </c>
      <c r="L42" s="100">
        <f t="shared" si="6"/>
        <v>3694</v>
      </c>
      <c r="M42" s="79">
        <f t="shared" si="6"/>
        <v>807</v>
      </c>
      <c r="N42" s="79">
        <f t="shared" si="6"/>
        <v>945</v>
      </c>
      <c r="O42" s="79">
        <f t="shared" si="6"/>
        <v>848</v>
      </c>
      <c r="P42" s="79">
        <f t="shared" si="6"/>
        <v>688</v>
      </c>
      <c r="Q42" s="100">
        <f t="shared" si="6"/>
        <v>3288</v>
      </c>
      <c r="R42" s="79">
        <f t="shared" si="6"/>
        <v>385</v>
      </c>
      <c r="S42" s="79">
        <f t="shared" si="6"/>
        <v>1083</v>
      </c>
      <c r="T42" s="79">
        <f t="shared" si="6"/>
        <v>1069</v>
      </c>
      <c r="U42" s="79">
        <f t="shared" si="6"/>
        <v>916</v>
      </c>
      <c r="V42" s="100">
        <f t="shared" si="6"/>
        <v>3453</v>
      </c>
      <c r="W42" s="79">
        <f>SUM(W9:W41)</f>
        <v>402</v>
      </c>
      <c r="X42" s="79">
        <f>SUM(X9:X41)</f>
        <v>781.32687491477645</v>
      </c>
      <c r="Y42" s="79">
        <f>SUM(Y9:Y41)</f>
        <v>2487</v>
      </c>
      <c r="Z42" s="79">
        <f t="shared" ref="Z42:AA42" si="7">SUM(Z9:Z41)</f>
        <v>2357.6731250852235</v>
      </c>
      <c r="AA42" s="100">
        <f t="shared" si="7"/>
        <v>6028</v>
      </c>
      <c r="AB42" s="79">
        <f t="shared" ref="AB42:AF42" si="8">SUM(AB9:AB41)</f>
        <v>2352</v>
      </c>
      <c r="AC42" s="134">
        <f t="shared" ref="AC42" si="9">SUM(AC9:AC41)</f>
        <v>3101</v>
      </c>
      <c r="AD42" s="134">
        <f t="shared" si="8"/>
        <v>3836</v>
      </c>
      <c r="AE42" s="134">
        <f t="shared" si="8"/>
        <v>1683</v>
      </c>
      <c r="AF42" s="100">
        <f t="shared" si="8"/>
        <v>10972</v>
      </c>
      <c r="AG42" s="134">
        <f t="shared" ref="AG42:AH42" si="10">SUM(AG9:AG41)</f>
        <v>2116</v>
      </c>
      <c r="AH42" s="100">
        <f t="shared" si="10"/>
        <v>2116</v>
      </c>
    </row>
    <row r="43" spans="2:34" x14ac:dyDescent="0.25">
      <c r="B43" s="106" t="s">
        <v>89</v>
      </c>
      <c r="C43" s="65"/>
      <c r="D43" s="65"/>
      <c r="E43" s="65"/>
      <c r="F43" s="65"/>
      <c r="G43" s="98"/>
      <c r="H43" s="65"/>
      <c r="I43" s="65"/>
      <c r="J43" s="65"/>
      <c r="K43" s="65"/>
      <c r="L43" s="98"/>
      <c r="M43" s="65"/>
      <c r="N43" s="65"/>
      <c r="O43" s="65"/>
      <c r="P43" s="65"/>
      <c r="Q43" s="98"/>
      <c r="R43" s="65"/>
      <c r="S43" s="65"/>
      <c r="T43" s="65"/>
      <c r="U43" s="65"/>
      <c r="V43" s="98"/>
      <c r="W43" s="65"/>
      <c r="X43" s="65"/>
      <c r="Y43" s="65"/>
      <c r="Z43" s="65"/>
      <c r="AA43" s="98"/>
      <c r="AB43" s="65"/>
      <c r="AC43" s="65"/>
      <c r="AD43" s="65"/>
      <c r="AE43" s="65"/>
      <c r="AF43" s="98"/>
      <c r="AG43" s="65"/>
      <c r="AH43" s="98"/>
    </row>
    <row r="44" spans="2:34" x14ac:dyDescent="0.25">
      <c r="B44" s="109" t="s">
        <v>90</v>
      </c>
      <c r="C44" s="65">
        <v>1389</v>
      </c>
      <c r="D44" s="65">
        <f>1701-C44</f>
        <v>312</v>
      </c>
      <c r="E44" s="68">
        <f>1101-C44-D44</f>
        <v>-600</v>
      </c>
      <c r="F44" s="65">
        <f t="shared" ref="F44:F51" si="11">G44-SUM(C44:E44)</f>
        <v>653</v>
      </c>
      <c r="G44" s="98">
        <v>1754</v>
      </c>
      <c r="H44" s="65">
        <v>76</v>
      </c>
      <c r="I44" s="68">
        <f>-277-H44</f>
        <v>-353</v>
      </c>
      <c r="J44" s="65">
        <f>-254-H44-I44</f>
        <v>23</v>
      </c>
      <c r="K44" s="65">
        <f t="shared" ref="K44:K51" si="12">L44-SUM(H44:J44)</f>
        <v>696</v>
      </c>
      <c r="L44" s="98">
        <v>442</v>
      </c>
      <c r="M44" s="68">
        <v>562</v>
      </c>
      <c r="N44" s="68">
        <f>921-M44</f>
        <v>359</v>
      </c>
      <c r="O44" s="68">
        <f>581-N44-M44</f>
        <v>-340</v>
      </c>
      <c r="P44" s="68">
        <f t="shared" ref="P44:P51" si="13">Q44-SUM(M44:O44)</f>
        <v>57</v>
      </c>
      <c r="Q44" s="98">
        <v>638</v>
      </c>
      <c r="R44" s="68">
        <v>-302</v>
      </c>
      <c r="S44" s="68">
        <v>-958</v>
      </c>
      <c r="T44" s="68">
        <v>995</v>
      </c>
      <c r="U44" s="68">
        <f t="shared" si="0"/>
        <v>-430</v>
      </c>
      <c r="V44" s="98">
        <v>-695</v>
      </c>
      <c r="W44" s="68">
        <v>-415</v>
      </c>
      <c r="X44" s="68">
        <v>40.398685488514275</v>
      </c>
      <c r="Y44" s="68">
        <v>-105</v>
      </c>
      <c r="Z44" s="68">
        <v>-560.09764458744303</v>
      </c>
      <c r="AA44" s="98">
        <v>-1039.6989590989288</v>
      </c>
      <c r="AB44" s="68">
        <v>834</v>
      </c>
      <c r="AC44" s="68">
        <v>-249</v>
      </c>
      <c r="AD44" s="68">
        <v>-132</v>
      </c>
      <c r="AE44" s="68">
        <v>2457</v>
      </c>
      <c r="AF44" s="98">
        <v>2910</v>
      </c>
      <c r="AG44" s="68">
        <v>-216</v>
      </c>
      <c r="AH44" s="98">
        <f t="shared" ref="AH44:AH51" si="14">AG44</f>
        <v>-216</v>
      </c>
    </row>
    <row r="45" spans="2:34" x14ac:dyDescent="0.25">
      <c r="B45" s="109" t="s">
        <v>91</v>
      </c>
      <c r="C45" s="65">
        <v>9</v>
      </c>
      <c r="D45" s="65">
        <f>13-C45</f>
        <v>4</v>
      </c>
      <c r="E45" s="68">
        <f>-21-D45-C45</f>
        <v>-34</v>
      </c>
      <c r="F45" s="68">
        <f t="shared" si="11"/>
        <v>-51</v>
      </c>
      <c r="G45" s="99">
        <v>-72</v>
      </c>
      <c r="H45" s="68">
        <v>-37</v>
      </c>
      <c r="I45" s="68">
        <f>-58-H45</f>
        <v>-21</v>
      </c>
      <c r="J45" s="68">
        <f>-145-H45-I45</f>
        <v>-87</v>
      </c>
      <c r="K45" s="68">
        <f t="shared" si="12"/>
        <v>-57</v>
      </c>
      <c r="L45" s="99">
        <v>-202</v>
      </c>
      <c r="M45" s="68">
        <v>-60</v>
      </c>
      <c r="N45" s="68">
        <f>-58-M45</f>
        <v>2</v>
      </c>
      <c r="O45" s="68">
        <f>-37-M45-N45</f>
        <v>21</v>
      </c>
      <c r="P45" s="68">
        <f t="shared" si="13"/>
        <v>-55</v>
      </c>
      <c r="Q45" s="99">
        <v>-92</v>
      </c>
      <c r="R45" s="65">
        <v>3</v>
      </c>
      <c r="S45" s="68">
        <v>-40</v>
      </c>
      <c r="T45" s="68">
        <v>-76</v>
      </c>
      <c r="U45" s="68">
        <f t="shared" si="0"/>
        <v>249</v>
      </c>
      <c r="V45" s="99">
        <v>136</v>
      </c>
      <c r="W45" s="65">
        <v>-1</v>
      </c>
      <c r="X45" s="65">
        <v>-17</v>
      </c>
      <c r="Y45" s="65">
        <v>-110</v>
      </c>
      <c r="Z45" s="68">
        <v>-111</v>
      </c>
      <c r="AA45" s="99">
        <v>-239</v>
      </c>
      <c r="AB45" s="68">
        <v>-108</v>
      </c>
      <c r="AC45" s="68">
        <v>-211</v>
      </c>
      <c r="AD45" s="68">
        <v>-173</v>
      </c>
      <c r="AE45" s="68">
        <v>-348</v>
      </c>
      <c r="AF45" s="99">
        <v>-840</v>
      </c>
      <c r="AG45" s="68">
        <v>-219</v>
      </c>
      <c r="AH45" s="99">
        <f t="shared" si="14"/>
        <v>-219</v>
      </c>
    </row>
    <row r="46" spans="2:34" x14ac:dyDescent="0.25">
      <c r="B46" s="109" t="s">
        <v>93</v>
      </c>
      <c r="C46" s="65">
        <v>379</v>
      </c>
      <c r="D46" s="68">
        <f>362-C46</f>
        <v>-17</v>
      </c>
      <c r="E46" s="68">
        <f>244-C46-D46</f>
        <v>-118</v>
      </c>
      <c r="F46" s="65">
        <f t="shared" si="11"/>
        <v>278</v>
      </c>
      <c r="G46" s="98">
        <v>522</v>
      </c>
      <c r="H46" s="68">
        <v>-172</v>
      </c>
      <c r="I46" s="68">
        <f>-444-H46</f>
        <v>-272</v>
      </c>
      <c r="J46" s="68">
        <f>-779-I46-H46</f>
        <v>-335</v>
      </c>
      <c r="K46" s="65">
        <f t="shared" si="12"/>
        <v>359</v>
      </c>
      <c r="L46" s="99">
        <v>-420</v>
      </c>
      <c r="M46" s="65">
        <v>-481</v>
      </c>
      <c r="N46" s="65">
        <f>-781-M46</f>
        <v>-300</v>
      </c>
      <c r="O46" s="65">
        <f>-906-M46-N46</f>
        <v>-125</v>
      </c>
      <c r="P46" s="65">
        <f t="shared" si="13"/>
        <v>738</v>
      </c>
      <c r="Q46" s="99">
        <v>-168</v>
      </c>
      <c r="R46" s="68">
        <v>-137</v>
      </c>
      <c r="S46" s="68">
        <v>-309</v>
      </c>
      <c r="T46" s="68">
        <v>186</v>
      </c>
      <c r="U46" s="68">
        <f t="shared" si="0"/>
        <v>593</v>
      </c>
      <c r="V46" s="99">
        <v>333</v>
      </c>
      <c r="W46" s="68">
        <v>538</v>
      </c>
      <c r="X46" s="68">
        <v>-71.032557511192863</v>
      </c>
      <c r="Y46" s="68">
        <v>-436</v>
      </c>
      <c r="Z46" s="68">
        <v>41.712703074397723</v>
      </c>
      <c r="AA46" s="99">
        <v>72.68014556320486</v>
      </c>
      <c r="AB46" s="68">
        <v>258</v>
      </c>
      <c r="AC46" s="68">
        <v>-1004</v>
      </c>
      <c r="AD46" s="68">
        <v>-8</v>
      </c>
      <c r="AE46" s="68">
        <v>162</v>
      </c>
      <c r="AF46" s="99">
        <v>-592</v>
      </c>
      <c r="AG46" s="68">
        <v>-1134</v>
      </c>
      <c r="AH46" s="99">
        <f t="shared" si="14"/>
        <v>-1134</v>
      </c>
    </row>
    <row r="47" spans="2:34" x14ac:dyDescent="0.25">
      <c r="B47" s="109" t="s">
        <v>92</v>
      </c>
      <c r="C47" s="68">
        <v>-64</v>
      </c>
      <c r="D47" s="65">
        <f>224-C47</f>
        <v>288</v>
      </c>
      <c r="E47" s="68">
        <f>216-D47-C47</f>
        <v>-8</v>
      </c>
      <c r="F47" s="65">
        <f t="shared" si="11"/>
        <v>106</v>
      </c>
      <c r="G47" s="98">
        <v>322</v>
      </c>
      <c r="H47" s="68">
        <v>-53</v>
      </c>
      <c r="I47" s="65">
        <f>17-H47</f>
        <v>70</v>
      </c>
      <c r="J47" s="65">
        <f>115-I47-H47</f>
        <v>98</v>
      </c>
      <c r="K47" s="68">
        <f t="shared" si="12"/>
        <v>-245</v>
      </c>
      <c r="L47" s="99">
        <v>-130</v>
      </c>
      <c r="M47" s="65">
        <v>-257</v>
      </c>
      <c r="N47" s="65">
        <f>-588-M47</f>
        <v>-331</v>
      </c>
      <c r="O47" s="65">
        <f>-633-M47-N47</f>
        <v>-45</v>
      </c>
      <c r="P47" s="65">
        <f t="shared" si="13"/>
        <v>340</v>
      </c>
      <c r="Q47" s="99">
        <v>-293</v>
      </c>
      <c r="R47" s="68">
        <v>-199</v>
      </c>
      <c r="S47" s="68">
        <v>-14</v>
      </c>
      <c r="T47" s="68">
        <v>-13</v>
      </c>
      <c r="U47" s="68">
        <f t="shared" si="0"/>
        <v>19</v>
      </c>
      <c r="V47" s="99">
        <v>-207</v>
      </c>
      <c r="W47" s="68">
        <v>-78</v>
      </c>
      <c r="X47" s="68">
        <v>229.71227969808024</v>
      </c>
      <c r="Y47" s="68">
        <v>189</v>
      </c>
      <c r="Z47" s="68">
        <v>-295.97964036983649</v>
      </c>
      <c r="AA47" s="99">
        <v>44.732639328243749</v>
      </c>
      <c r="AB47" s="68">
        <v>-797</v>
      </c>
      <c r="AC47" s="68">
        <v>-504</v>
      </c>
      <c r="AD47" s="68">
        <v>-524</v>
      </c>
      <c r="AE47" s="68">
        <v>-600</v>
      </c>
      <c r="AF47" s="99">
        <v>-2425</v>
      </c>
      <c r="AG47" s="68">
        <v>-1032</v>
      </c>
      <c r="AH47" s="99">
        <f t="shared" si="14"/>
        <v>-1032</v>
      </c>
    </row>
    <row r="48" spans="2:34" x14ac:dyDescent="0.25">
      <c r="B48" s="109" t="s">
        <v>118</v>
      </c>
      <c r="C48" s="65">
        <v>150</v>
      </c>
      <c r="D48" s="65">
        <f>253-C48</f>
        <v>103</v>
      </c>
      <c r="E48" s="65">
        <f>288-C48-D48</f>
        <v>35</v>
      </c>
      <c r="F48" s="68">
        <f t="shared" si="11"/>
        <v>-117</v>
      </c>
      <c r="G48" s="98">
        <v>171</v>
      </c>
      <c r="H48" s="65">
        <v>46</v>
      </c>
      <c r="I48" s="65">
        <f>108-H48</f>
        <v>62</v>
      </c>
      <c r="J48" s="68">
        <f>45-H48-I48</f>
        <v>-63</v>
      </c>
      <c r="K48" s="68">
        <f t="shared" si="12"/>
        <v>-33</v>
      </c>
      <c r="L48" s="98">
        <v>12</v>
      </c>
      <c r="M48" s="65">
        <v>80</v>
      </c>
      <c r="N48" s="65">
        <f>-40-M48</f>
        <v>-120</v>
      </c>
      <c r="O48" s="65">
        <f>-267-N48-M48</f>
        <v>-227</v>
      </c>
      <c r="P48" s="65">
        <f t="shared" si="13"/>
        <v>5</v>
      </c>
      <c r="Q48" s="99">
        <v>-262</v>
      </c>
      <c r="R48" s="68">
        <v>-62</v>
      </c>
      <c r="S48" s="68">
        <v>-201</v>
      </c>
      <c r="T48" s="68">
        <v>219</v>
      </c>
      <c r="U48" s="68">
        <f t="shared" si="0"/>
        <v>-450</v>
      </c>
      <c r="V48" s="99">
        <v>-494</v>
      </c>
      <c r="W48" s="68">
        <v>35</v>
      </c>
      <c r="X48" s="68">
        <v>37.315203293508603</v>
      </c>
      <c r="Y48" s="68">
        <v>219</v>
      </c>
      <c r="Z48" s="68">
        <v>462.7394541794265</v>
      </c>
      <c r="AA48" s="99">
        <v>754.05465747293511</v>
      </c>
      <c r="AB48" s="68">
        <v>2</v>
      </c>
      <c r="AC48" s="68">
        <v>171</v>
      </c>
      <c r="AD48" s="68">
        <v>8</v>
      </c>
      <c r="AE48" s="68">
        <v>-119</v>
      </c>
      <c r="AF48" s="99">
        <v>62</v>
      </c>
      <c r="AG48" s="68">
        <v>637</v>
      </c>
      <c r="AH48" s="99">
        <f t="shared" si="14"/>
        <v>637</v>
      </c>
    </row>
    <row r="49" spans="2:34" x14ac:dyDescent="0.25">
      <c r="B49" s="109" t="s">
        <v>94</v>
      </c>
      <c r="C49" s="68">
        <v>-113</v>
      </c>
      <c r="D49" s="68">
        <f>-193-C49</f>
        <v>-80</v>
      </c>
      <c r="E49" s="65">
        <f>-154-C49-D49</f>
        <v>39</v>
      </c>
      <c r="F49" s="65">
        <f t="shared" si="11"/>
        <v>474</v>
      </c>
      <c r="G49" s="98">
        <v>320</v>
      </c>
      <c r="H49" s="65">
        <v>24</v>
      </c>
      <c r="I49" s="65">
        <f>344-H49</f>
        <v>320</v>
      </c>
      <c r="J49" s="65">
        <f>441-H49-I49</f>
        <v>97</v>
      </c>
      <c r="K49" s="68">
        <f t="shared" si="12"/>
        <v>-46</v>
      </c>
      <c r="L49" s="98">
        <v>395</v>
      </c>
      <c r="M49" s="65">
        <v>-79</v>
      </c>
      <c r="N49" s="65">
        <f>-180-M49</f>
        <v>-101</v>
      </c>
      <c r="O49" s="65">
        <f>-173-M49-N49</f>
        <v>7</v>
      </c>
      <c r="P49" s="65">
        <f t="shared" si="13"/>
        <v>156</v>
      </c>
      <c r="Q49" s="99">
        <v>-17</v>
      </c>
      <c r="R49" s="68">
        <v>-113</v>
      </c>
      <c r="S49" s="68">
        <v>-3</v>
      </c>
      <c r="T49" s="68">
        <v>-106</v>
      </c>
      <c r="U49" s="68">
        <f t="shared" si="0"/>
        <v>264</v>
      </c>
      <c r="V49" s="99">
        <v>42</v>
      </c>
      <c r="W49" s="68">
        <v>-18</v>
      </c>
      <c r="X49" s="68">
        <v>-8</v>
      </c>
      <c r="Y49" s="68">
        <v>35</v>
      </c>
      <c r="Z49" s="68">
        <v>24</v>
      </c>
      <c r="AA49" s="99">
        <v>33</v>
      </c>
      <c r="AB49" s="68">
        <v>-16</v>
      </c>
      <c r="AC49" s="68">
        <v>33</v>
      </c>
      <c r="AD49" s="68">
        <v>-51</v>
      </c>
      <c r="AE49" s="68">
        <v>9</v>
      </c>
      <c r="AF49" s="99">
        <v>-25</v>
      </c>
      <c r="AG49" s="68">
        <v>-36</v>
      </c>
      <c r="AH49" s="99">
        <f t="shared" si="14"/>
        <v>-36</v>
      </c>
    </row>
    <row r="50" spans="2:34" x14ac:dyDescent="0.25">
      <c r="B50" s="109" t="s">
        <v>172</v>
      </c>
      <c r="C50" s="68">
        <v>0</v>
      </c>
      <c r="D50" s="68">
        <v>0</v>
      </c>
      <c r="E50" s="68">
        <v>0</v>
      </c>
      <c r="F50" s="65">
        <f t="shared" si="11"/>
        <v>0</v>
      </c>
      <c r="G50" s="98">
        <v>0</v>
      </c>
      <c r="H50" s="68">
        <v>0</v>
      </c>
      <c r="I50" s="68">
        <v>0</v>
      </c>
      <c r="J50" s="68">
        <v>0</v>
      </c>
      <c r="K50" s="65">
        <f t="shared" si="12"/>
        <v>0</v>
      </c>
      <c r="L50" s="98">
        <v>0</v>
      </c>
      <c r="M50" s="68">
        <v>0</v>
      </c>
      <c r="N50" s="68">
        <v>0</v>
      </c>
      <c r="O50" s="68">
        <v>0</v>
      </c>
      <c r="P50" s="65">
        <f t="shared" ref="P50" si="15">Q50-SUM(M50:O50)</f>
        <v>0</v>
      </c>
      <c r="Q50" s="98">
        <v>0</v>
      </c>
      <c r="R50" s="68">
        <v>0</v>
      </c>
      <c r="S50" s="68">
        <v>0</v>
      </c>
      <c r="T50" s="68">
        <v>0</v>
      </c>
      <c r="U50" s="65">
        <f t="shared" ref="U50" si="16">V50-SUM(R50:T50)</f>
        <v>0</v>
      </c>
      <c r="V50" s="98">
        <v>0</v>
      </c>
      <c r="W50" s="68">
        <v>0</v>
      </c>
      <c r="X50" s="68">
        <v>94.35495145971413</v>
      </c>
      <c r="Y50" s="68">
        <v>-8</v>
      </c>
      <c r="Z50" s="65">
        <v>39.078641523537897</v>
      </c>
      <c r="AA50" s="98">
        <v>125.43359298325203</v>
      </c>
      <c r="AB50" s="65">
        <v>-4</v>
      </c>
      <c r="AC50" s="65">
        <v>-5</v>
      </c>
      <c r="AD50" s="65">
        <v>-17</v>
      </c>
      <c r="AE50" s="65">
        <v>-4</v>
      </c>
      <c r="AF50" s="98">
        <v>-30</v>
      </c>
      <c r="AG50" s="65">
        <v>-11</v>
      </c>
      <c r="AH50" s="98">
        <f t="shared" si="14"/>
        <v>-11</v>
      </c>
    </row>
    <row r="51" spans="2:34" x14ac:dyDescent="0.25">
      <c r="B51" s="109" t="s">
        <v>165</v>
      </c>
      <c r="C51" s="65">
        <v>5</v>
      </c>
      <c r="D51" s="65">
        <f>52-C51</f>
        <v>47</v>
      </c>
      <c r="E51" s="65">
        <f>74-C51-D51</f>
        <v>22</v>
      </c>
      <c r="F51" s="68">
        <f t="shared" si="11"/>
        <v>-185</v>
      </c>
      <c r="G51" s="99">
        <v>-111</v>
      </c>
      <c r="H51" s="65">
        <v>252</v>
      </c>
      <c r="I51" s="68">
        <f>236-H51</f>
        <v>-16</v>
      </c>
      <c r="J51" s="65">
        <f>471-I51-H51</f>
        <v>235</v>
      </c>
      <c r="K51" s="68">
        <f t="shared" si="12"/>
        <v>-829</v>
      </c>
      <c r="L51" s="99">
        <v>-358</v>
      </c>
      <c r="M51" s="65">
        <v>-180</v>
      </c>
      <c r="N51" s="65">
        <f>52-M51</f>
        <v>232</v>
      </c>
      <c r="O51" s="65">
        <f>-38-M51-N51</f>
        <v>-90</v>
      </c>
      <c r="P51" s="65">
        <f t="shared" si="13"/>
        <v>88</v>
      </c>
      <c r="Q51" s="98">
        <v>50</v>
      </c>
      <c r="R51" s="65">
        <v>264</v>
      </c>
      <c r="S51" s="68">
        <v>-114</v>
      </c>
      <c r="T51" s="68">
        <v>-153</v>
      </c>
      <c r="U51" s="68">
        <f t="shared" si="0"/>
        <v>260</v>
      </c>
      <c r="V51" s="98">
        <v>257</v>
      </c>
      <c r="W51" s="65">
        <v>4</v>
      </c>
      <c r="X51" s="65">
        <v>-33.230444036762037</v>
      </c>
      <c r="Y51" s="65">
        <v>-283</v>
      </c>
      <c r="Z51" s="68">
        <v>248.23044403676204</v>
      </c>
      <c r="AA51" s="98">
        <v>-64</v>
      </c>
      <c r="AB51" s="68">
        <v>-142</v>
      </c>
      <c r="AC51" s="68">
        <v>3</v>
      </c>
      <c r="AD51" s="68">
        <v>154</v>
      </c>
      <c r="AE51" s="68">
        <v>23</v>
      </c>
      <c r="AF51" s="98">
        <v>38</v>
      </c>
      <c r="AG51" s="68">
        <v>351</v>
      </c>
      <c r="AH51" s="98">
        <f t="shared" si="14"/>
        <v>351</v>
      </c>
    </row>
    <row r="52" spans="2:34" x14ac:dyDescent="0.25">
      <c r="B52" s="106" t="s">
        <v>95</v>
      </c>
      <c r="C52" s="65"/>
      <c r="D52" s="65"/>
      <c r="E52" s="65"/>
      <c r="F52" s="65"/>
      <c r="G52" s="98"/>
      <c r="H52" s="65"/>
      <c r="I52" s="65"/>
      <c r="J52" s="65"/>
      <c r="K52" s="65"/>
      <c r="L52" s="98"/>
      <c r="M52" s="65"/>
      <c r="N52" s="65"/>
      <c r="O52" s="65"/>
      <c r="P52" s="65"/>
      <c r="Q52" s="98"/>
      <c r="R52" s="65"/>
      <c r="S52" s="65"/>
      <c r="T52" s="65"/>
      <c r="U52" s="65">
        <f t="shared" si="0"/>
        <v>0</v>
      </c>
      <c r="V52" s="98"/>
      <c r="W52" s="65"/>
      <c r="X52" s="65"/>
      <c r="Y52" s="65"/>
      <c r="Z52" s="65"/>
      <c r="AA52" s="98"/>
      <c r="AB52" s="65"/>
      <c r="AC52" s="65"/>
      <c r="AD52" s="65"/>
      <c r="AE52" s="65"/>
      <c r="AF52" s="98"/>
      <c r="AG52" s="65"/>
      <c r="AH52" s="98"/>
    </row>
    <row r="53" spans="2:34" x14ac:dyDescent="0.25">
      <c r="B53" s="109" t="s">
        <v>96</v>
      </c>
      <c r="C53" s="68">
        <v>-195</v>
      </c>
      <c r="D53" s="68">
        <f>-305-C53</f>
        <v>-110</v>
      </c>
      <c r="E53" s="68">
        <f>-423-C53-D53</f>
        <v>-118</v>
      </c>
      <c r="F53" s="65">
        <f t="shared" ref="F53:F59" si="17">G53-SUM(C53:E53)</f>
        <v>123</v>
      </c>
      <c r="G53" s="99">
        <v>-300</v>
      </c>
      <c r="H53" s="68">
        <v>-376</v>
      </c>
      <c r="I53" s="65">
        <f>83-H53</f>
        <v>459</v>
      </c>
      <c r="J53" s="65">
        <f>136-I53-H53</f>
        <v>53</v>
      </c>
      <c r="K53" s="65">
        <f>L53-SUM(H53:J53)</f>
        <v>494</v>
      </c>
      <c r="L53" s="98">
        <v>630</v>
      </c>
      <c r="M53" s="65">
        <v>-183</v>
      </c>
      <c r="N53" s="65">
        <f>449-M53</f>
        <v>632</v>
      </c>
      <c r="O53" s="65">
        <f>642-M53-N53</f>
        <v>193</v>
      </c>
      <c r="P53" s="65">
        <f>Q53-SUM(M53:O53)</f>
        <v>136</v>
      </c>
      <c r="Q53" s="98">
        <v>778</v>
      </c>
      <c r="R53" s="68">
        <v>-644</v>
      </c>
      <c r="S53" s="65">
        <v>130</v>
      </c>
      <c r="T53" s="65">
        <v>308</v>
      </c>
      <c r="U53" s="65">
        <f t="shared" si="0"/>
        <v>498</v>
      </c>
      <c r="V53" s="98">
        <v>292</v>
      </c>
      <c r="W53" s="68">
        <v>-1313</v>
      </c>
      <c r="X53" s="68">
        <v>-190.87871357000313</v>
      </c>
      <c r="Y53" s="68">
        <v>695</v>
      </c>
      <c r="Z53" s="65">
        <v>697.65828574673924</v>
      </c>
      <c r="AA53" s="98">
        <v>-111.22042782326389</v>
      </c>
      <c r="AB53" s="65">
        <v>-575</v>
      </c>
      <c r="AC53" s="65">
        <v>556</v>
      </c>
      <c r="AD53" s="65">
        <v>224</v>
      </c>
      <c r="AE53" s="65">
        <v>1437</v>
      </c>
      <c r="AF53" s="98">
        <v>1642</v>
      </c>
      <c r="AG53" s="65">
        <v>414</v>
      </c>
      <c r="AH53" s="98">
        <f t="shared" ref="AH53:AH59" si="18">AG53</f>
        <v>414</v>
      </c>
    </row>
    <row r="54" spans="2:34" x14ac:dyDescent="0.25">
      <c r="B54" s="109" t="s">
        <v>98</v>
      </c>
      <c r="C54" s="68">
        <v>-259</v>
      </c>
      <c r="D54" s="65">
        <f>-195-C54</f>
        <v>64</v>
      </c>
      <c r="E54" s="65">
        <f>-59-D54-C54</f>
        <v>136</v>
      </c>
      <c r="F54" s="65">
        <f t="shared" si="17"/>
        <v>39</v>
      </c>
      <c r="G54" s="99">
        <f>-20</f>
        <v>-20</v>
      </c>
      <c r="H54" s="68">
        <v>-322</v>
      </c>
      <c r="I54" s="65">
        <f>-185-H54</f>
        <v>137</v>
      </c>
      <c r="J54" s="65">
        <f>-27-H54-I54</f>
        <v>158</v>
      </c>
      <c r="K54" s="65">
        <f>L54-SUM(H54:J54)</f>
        <v>74</v>
      </c>
      <c r="L54" s="98">
        <v>47</v>
      </c>
      <c r="M54" s="68">
        <v>-340</v>
      </c>
      <c r="N54" s="68">
        <f>-153-M54</f>
        <v>187</v>
      </c>
      <c r="O54" s="68">
        <f>-8-M54-N54</f>
        <v>145</v>
      </c>
      <c r="P54" s="68">
        <f>Q54-SUM(M54:O54)</f>
        <v>-42</v>
      </c>
      <c r="Q54" s="99">
        <v>-50</v>
      </c>
      <c r="R54" s="68">
        <v>-258</v>
      </c>
      <c r="S54" s="65">
        <v>114</v>
      </c>
      <c r="T54" s="65">
        <v>138</v>
      </c>
      <c r="U54" s="65">
        <f t="shared" si="0"/>
        <v>-3</v>
      </c>
      <c r="V54" s="99">
        <v>-9</v>
      </c>
      <c r="W54" s="68">
        <v>-225</v>
      </c>
      <c r="X54" s="68">
        <v>185.50871809036119</v>
      </c>
      <c r="Y54" s="68">
        <v>229</v>
      </c>
      <c r="Z54" s="65">
        <v>60.620352443599472</v>
      </c>
      <c r="AA54" s="99">
        <v>250.12907053396066</v>
      </c>
      <c r="AB54" s="65">
        <v>-320</v>
      </c>
      <c r="AC54" s="65">
        <v>179</v>
      </c>
      <c r="AD54" s="65">
        <v>250</v>
      </c>
      <c r="AE54" s="65">
        <v>121</v>
      </c>
      <c r="AF54" s="99">
        <v>230</v>
      </c>
      <c r="AG54" s="65">
        <v>-379</v>
      </c>
      <c r="AH54" s="99">
        <f t="shared" si="18"/>
        <v>-379</v>
      </c>
    </row>
    <row r="55" spans="2:34" x14ac:dyDescent="0.25">
      <c r="B55" s="109" t="s">
        <v>97</v>
      </c>
      <c r="C55" s="65">
        <v>43</v>
      </c>
      <c r="D55" s="65">
        <f>85-C55</f>
        <v>42</v>
      </c>
      <c r="E55" s="65">
        <f>96-C55-D55</f>
        <v>11</v>
      </c>
      <c r="F55" s="65">
        <f t="shared" si="17"/>
        <v>9</v>
      </c>
      <c r="G55" s="98">
        <v>105</v>
      </c>
      <c r="H55" s="65">
        <v>12</v>
      </c>
      <c r="I55" s="68">
        <f>-23-H55</f>
        <v>-35</v>
      </c>
      <c r="J55" s="68">
        <f>-58-H55-I55</f>
        <v>-35</v>
      </c>
      <c r="K55" s="68">
        <f>L55-SUM(H55:J55)</f>
        <v>-26</v>
      </c>
      <c r="L55" s="99">
        <v>-84</v>
      </c>
      <c r="M55" s="68">
        <v>-14</v>
      </c>
      <c r="N55" s="68">
        <f>123-M55</f>
        <v>137</v>
      </c>
      <c r="O55" s="68">
        <f>189-M55-N55</f>
        <v>66</v>
      </c>
      <c r="P55" s="68">
        <f>Q55-SUM(M55:O55)</f>
        <v>-202</v>
      </c>
      <c r="Q55" s="99">
        <v>-13</v>
      </c>
      <c r="R55" s="68">
        <v>-2</v>
      </c>
      <c r="S55" s="68">
        <v>-13</v>
      </c>
      <c r="T55" s="68">
        <v>2</v>
      </c>
      <c r="U55" s="68">
        <f t="shared" si="0"/>
        <v>-4</v>
      </c>
      <c r="V55" s="99">
        <v>-17</v>
      </c>
      <c r="W55" s="68">
        <v>-3</v>
      </c>
      <c r="X55" s="68">
        <v>-16</v>
      </c>
      <c r="Y55" s="68">
        <v>28</v>
      </c>
      <c r="Z55" s="68">
        <v>-17</v>
      </c>
      <c r="AA55" s="99">
        <v>-8</v>
      </c>
      <c r="AB55" s="68">
        <v>8</v>
      </c>
      <c r="AC55" s="68">
        <v>-20</v>
      </c>
      <c r="AD55" s="68">
        <v>-24</v>
      </c>
      <c r="AE55" s="68">
        <v>194</v>
      </c>
      <c r="AF55" s="99">
        <v>158</v>
      </c>
      <c r="AG55" s="68">
        <v>-26</v>
      </c>
      <c r="AH55" s="99">
        <f t="shared" si="18"/>
        <v>-26</v>
      </c>
    </row>
    <row r="56" spans="2:34" x14ac:dyDescent="0.25">
      <c r="B56" s="109" t="s">
        <v>99</v>
      </c>
      <c r="C56" s="68">
        <v>-89</v>
      </c>
      <c r="D56" s="68">
        <f>-170-C56</f>
        <v>-81</v>
      </c>
      <c r="E56" s="68">
        <f>-220-C56-D56</f>
        <v>-50</v>
      </c>
      <c r="F56" s="65">
        <f t="shared" si="17"/>
        <v>118</v>
      </c>
      <c r="G56" s="99">
        <v>-102</v>
      </c>
      <c r="H56" s="65">
        <v>91</v>
      </c>
      <c r="I56" s="65">
        <f>121-H56</f>
        <v>30</v>
      </c>
      <c r="J56" s="65">
        <f>374-I56-H56</f>
        <v>253</v>
      </c>
      <c r="K56" s="68">
        <f>L56-SUM(H56:J56)</f>
        <v>-214</v>
      </c>
      <c r="L56" s="98">
        <v>160</v>
      </c>
      <c r="M56" s="68">
        <v>-169</v>
      </c>
      <c r="N56" s="68">
        <f>-20-M56</f>
        <v>149</v>
      </c>
      <c r="O56" s="68">
        <f>71-M56-N56</f>
        <v>91</v>
      </c>
      <c r="P56" s="68">
        <f>Q56-SUM(M56:O56)</f>
        <v>-40</v>
      </c>
      <c r="Q56" s="98">
        <v>31</v>
      </c>
      <c r="R56" s="65">
        <v>10</v>
      </c>
      <c r="S56" s="65">
        <v>3</v>
      </c>
      <c r="T56" s="65">
        <v>9</v>
      </c>
      <c r="U56" s="65">
        <f t="shared" si="0"/>
        <v>-73</v>
      </c>
      <c r="V56" s="98">
        <v>-51</v>
      </c>
      <c r="W56" s="65">
        <v>-11</v>
      </c>
      <c r="X56" s="65">
        <v>78.602603146200977</v>
      </c>
      <c r="Y56" s="65">
        <v>41</v>
      </c>
      <c r="Z56" s="65">
        <v>-338.95278311062259</v>
      </c>
      <c r="AA56" s="98">
        <v>-230.35017996442161</v>
      </c>
      <c r="AB56" s="65">
        <v>147</v>
      </c>
      <c r="AC56" s="65">
        <v>-4</v>
      </c>
      <c r="AD56" s="65">
        <v>2</v>
      </c>
      <c r="AE56" s="65">
        <v>207</v>
      </c>
      <c r="AF56" s="98">
        <v>352</v>
      </c>
      <c r="AG56" s="65">
        <v>-505</v>
      </c>
      <c r="AH56" s="98">
        <f t="shared" si="18"/>
        <v>-505</v>
      </c>
    </row>
    <row r="57" spans="2:34" x14ac:dyDescent="0.25">
      <c r="B57" s="109" t="s">
        <v>173</v>
      </c>
      <c r="C57" s="68">
        <v>0</v>
      </c>
      <c r="D57" s="68">
        <v>0</v>
      </c>
      <c r="E57" s="68">
        <v>0</v>
      </c>
      <c r="F57" s="65">
        <f t="shared" si="17"/>
        <v>0</v>
      </c>
      <c r="G57" s="98">
        <v>0</v>
      </c>
      <c r="H57" s="68">
        <v>0</v>
      </c>
      <c r="I57" s="68">
        <v>0</v>
      </c>
      <c r="J57" s="68">
        <v>0</v>
      </c>
      <c r="K57" s="65">
        <f t="shared" ref="K57" si="19">L57-SUM(H57:J57)</f>
        <v>0</v>
      </c>
      <c r="L57" s="98">
        <v>0</v>
      </c>
      <c r="M57" s="68">
        <v>0</v>
      </c>
      <c r="N57" s="68">
        <v>0</v>
      </c>
      <c r="O57" s="68">
        <v>0</v>
      </c>
      <c r="P57" s="65">
        <f t="shared" ref="P57" si="20">Q57-SUM(M57:O57)</f>
        <v>0</v>
      </c>
      <c r="Q57" s="98">
        <v>0</v>
      </c>
      <c r="R57" s="68">
        <v>0</v>
      </c>
      <c r="S57" s="68">
        <v>0</v>
      </c>
      <c r="T57" s="68">
        <v>0</v>
      </c>
      <c r="U57" s="65">
        <f t="shared" ref="U57" si="21">V57-SUM(R57:T57)</f>
        <v>0</v>
      </c>
      <c r="V57" s="98">
        <v>0</v>
      </c>
      <c r="W57" s="65">
        <v>0</v>
      </c>
      <c r="X57" s="65">
        <v>171.2240099498423</v>
      </c>
      <c r="Y57" s="65">
        <v>-155</v>
      </c>
      <c r="Z57" s="65">
        <v>40.334638809806378</v>
      </c>
      <c r="AA57" s="98">
        <v>56.558648759648676</v>
      </c>
      <c r="AB57" s="65">
        <v>32</v>
      </c>
      <c r="AC57" s="65">
        <v>50</v>
      </c>
      <c r="AD57" s="65">
        <v>3</v>
      </c>
      <c r="AE57" s="65">
        <v>-35</v>
      </c>
      <c r="AF57" s="98">
        <v>50</v>
      </c>
      <c r="AG57" s="65">
        <v>-36</v>
      </c>
      <c r="AH57" s="98">
        <f t="shared" si="18"/>
        <v>-36</v>
      </c>
    </row>
    <row r="58" spans="2:34" x14ac:dyDescent="0.25">
      <c r="B58" s="109" t="s">
        <v>236</v>
      </c>
      <c r="C58" s="68">
        <v>0</v>
      </c>
      <c r="D58" s="68">
        <v>0</v>
      </c>
      <c r="E58" s="68">
        <v>0</v>
      </c>
      <c r="F58" s="65">
        <v>0</v>
      </c>
      <c r="G58" s="98">
        <v>0</v>
      </c>
      <c r="H58" s="68">
        <v>0</v>
      </c>
      <c r="I58" s="68">
        <v>0</v>
      </c>
      <c r="J58" s="68">
        <v>0</v>
      </c>
      <c r="K58" s="65">
        <v>0</v>
      </c>
      <c r="L58" s="98">
        <v>0</v>
      </c>
      <c r="M58" s="68">
        <v>0</v>
      </c>
      <c r="N58" s="68">
        <v>0</v>
      </c>
      <c r="O58" s="68">
        <v>0</v>
      </c>
      <c r="P58" s="65">
        <v>0</v>
      </c>
      <c r="Q58" s="98">
        <v>0</v>
      </c>
      <c r="R58" s="68">
        <v>0</v>
      </c>
      <c r="S58" s="68">
        <v>0</v>
      </c>
      <c r="T58" s="68">
        <v>0</v>
      </c>
      <c r="U58" s="65">
        <v>0</v>
      </c>
      <c r="V58" s="98">
        <v>0</v>
      </c>
      <c r="W58" s="65">
        <v>0</v>
      </c>
      <c r="X58" s="65">
        <v>0</v>
      </c>
      <c r="Y58" s="65">
        <v>0</v>
      </c>
      <c r="Z58" s="65">
        <v>0</v>
      </c>
      <c r="AA58" s="98">
        <v>0</v>
      </c>
      <c r="AB58" s="65">
        <v>0</v>
      </c>
      <c r="AC58" s="65">
        <v>0</v>
      </c>
      <c r="AD58" s="65">
        <v>0</v>
      </c>
      <c r="AE58" s="65">
        <v>0</v>
      </c>
      <c r="AF58" s="98">
        <v>0</v>
      </c>
      <c r="AG58" s="65">
        <v>69</v>
      </c>
      <c r="AH58" s="98">
        <f t="shared" si="18"/>
        <v>69</v>
      </c>
    </row>
    <row r="59" spans="2:34" x14ac:dyDescent="0.25">
      <c r="B59" s="109" t="s">
        <v>100</v>
      </c>
      <c r="C59" s="68">
        <f>-253-77</f>
        <v>-330</v>
      </c>
      <c r="D59" s="68">
        <f>-607-C59</f>
        <v>-277</v>
      </c>
      <c r="E59" s="68">
        <f>-615-C59-D59</f>
        <v>-8</v>
      </c>
      <c r="F59" s="65">
        <f t="shared" si="17"/>
        <v>919</v>
      </c>
      <c r="G59" s="98">
        <v>304</v>
      </c>
      <c r="H59" s="68">
        <f>-58-326</f>
        <v>-384</v>
      </c>
      <c r="I59" s="68">
        <f>-734-H59</f>
        <v>-350</v>
      </c>
      <c r="J59" s="68">
        <f>-184-I59-H59-90-584</f>
        <v>-124</v>
      </c>
      <c r="K59" s="65">
        <f>L59-SUM(H59:J59)</f>
        <v>1029</v>
      </c>
      <c r="L59" s="98">
        <v>171</v>
      </c>
      <c r="M59" s="68">
        <v>314</v>
      </c>
      <c r="N59" s="68">
        <f>-34-M59</f>
        <v>-348</v>
      </c>
      <c r="O59" s="68">
        <f>445-M59-N59</f>
        <v>479</v>
      </c>
      <c r="P59" s="68">
        <f>Q59-SUM(M59:O59)</f>
        <v>-245</v>
      </c>
      <c r="Q59" s="98">
        <v>200</v>
      </c>
      <c r="R59" s="68">
        <v>-403</v>
      </c>
      <c r="S59" s="65">
        <v>42</v>
      </c>
      <c r="T59" s="65">
        <v>113</v>
      </c>
      <c r="U59" s="65">
        <f t="shared" si="0"/>
        <v>-254</v>
      </c>
      <c r="V59" s="98">
        <v>-502</v>
      </c>
      <c r="W59" s="68">
        <v>-183</v>
      </c>
      <c r="X59" s="68">
        <v>-191.03073288526019</v>
      </c>
      <c r="Y59" s="68">
        <v>443</v>
      </c>
      <c r="Z59" s="65">
        <v>418.33706459712454</v>
      </c>
      <c r="AA59" s="98">
        <v>487.30633171186435</v>
      </c>
      <c r="AB59" s="65">
        <v>-50</v>
      </c>
      <c r="AC59" s="77">
        <v>308</v>
      </c>
      <c r="AD59" s="77">
        <v>266</v>
      </c>
      <c r="AE59" s="77">
        <v>730</v>
      </c>
      <c r="AF59" s="98">
        <v>1254</v>
      </c>
      <c r="AG59" s="77">
        <v>-224</v>
      </c>
      <c r="AH59" s="98">
        <f t="shared" si="18"/>
        <v>-224</v>
      </c>
    </row>
    <row r="60" spans="2:34" s="108" customFormat="1" x14ac:dyDescent="0.25">
      <c r="B60" s="106" t="s">
        <v>101</v>
      </c>
      <c r="C60" s="76">
        <f>SUM(C42:C59)</f>
        <v>1735</v>
      </c>
      <c r="D60" s="76">
        <f>SUM(D42:D59)</f>
        <v>1589</v>
      </c>
      <c r="E60" s="76">
        <f>SUM(E42:E59)</f>
        <v>424</v>
      </c>
      <c r="F60" s="76">
        <f>SUM(F42:F59)</f>
        <v>3314</v>
      </c>
      <c r="G60" s="97">
        <f>SUM(G42:G59)</f>
        <v>7062</v>
      </c>
      <c r="H60" s="67">
        <f>SUM(H42:H59)</f>
        <v>-11</v>
      </c>
      <c r="I60" s="76">
        <f>SUM(I42:I59)</f>
        <v>777</v>
      </c>
      <c r="J60" s="76">
        <f>SUM(J42:J59)</f>
        <v>1166</v>
      </c>
      <c r="K60" s="76">
        <f>SUM(K42:K59)</f>
        <v>2425</v>
      </c>
      <c r="L60" s="97">
        <f>SUM(L42:L59)</f>
        <v>4357</v>
      </c>
      <c r="M60" s="76">
        <f>SUM(M42:M59)</f>
        <v>0</v>
      </c>
      <c r="N60" s="76">
        <f>SUM(N42:N59)</f>
        <v>1443</v>
      </c>
      <c r="O60" s="76">
        <f>SUM(O42:O59)</f>
        <v>1023</v>
      </c>
      <c r="P60" s="76">
        <f>SUM(P42:P59)</f>
        <v>1624</v>
      </c>
      <c r="Q60" s="97">
        <f>SUM(Q42:Q59)</f>
        <v>4090</v>
      </c>
      <c r="R60" s="67">
        <f>SUM(R42:R59)</f>
        <v>-1458</v>
      </c>
      <c r="S60" s="67">
        <f>SUM(S42:S59)</f>
        <v>-280</v>
      </c>
      <c r="T60" s="67">
        <f>SUM(T42:T59)</f>
        <v>2691</v>
      </c>
      <c r="U60" s="67">
        <f>SUM(U42:U59)</f>
        <v>1585</v>
      </c>
      <c r="V60" s="97">
        <f>SUM(V42:V59)</f>
        <v>2538</v>
      </c>
      <c r="W60" s="67">
        <f>SUM(W42:W59)</f>
        <v>-1268</v>
      </c>
      <c r="X60" s="67">
        <f>SUM(X42:X59)</f>
        <v>1091.27087803778</v>
      </c>
      <c r="Y60" s="67">
        <f>SUM(Y42:Y59)</f>
        <v>3269</v>
      </c>
      <c r="Z60" s="67">
        <f>SUM(Z42:Z59)</f>
        <v>3067.3546414287152</v>
      </c>
      <c r="AA60" s="97">
        <f>SUM(AA42:AA59)</f>
        <v>6159.6255194664946</v>
      </c>
      <c r="AB60" s="67">
        <f>SUM(AB42:AB59)</f>
        <v>1621</v>
      </c>
      <c r="AC60" s="135">
        <f>SUM(AC42:AC59)</f>
        <v>2404</v>
      </c>
      <c r="AD60" s="135">
        <f>SUM(AD42:AD59)</f>
        <v>3814</v>
      </c>
      <c r="AE60" s="135">
        <f>SUM(AE42:AE59)</f>
        <v>5917</v>
      </c>
      <c r="AF60" s="97">
        <f>SUM(AF42:AF59)</f>
        <v>13756</v>
      </c>
      <c r="AG60" s="135">
        <f>SUM(AG42:AG59)</f>
        <v>-231</v>
      </c>
      <c r="AH60" s="97">
        <f>SUM(AH42:AH59)</f>
        <v>-231</v>
      </c>
    </row>
    <row r="61" spans="2:34" x14ac:dyDescent="0.25">
      <c r="B61" s="106"/>
      <c r="C61" s="65"/>
      <c r="D61" s="65"/>
      <c r="E61" s="65"/>
      <c r="F61" s="65"/>
      <c r="G61" s="98"/>
      <c r="H61" s="65"/>
      <c r="I61" s="65"/>
      <c r="J61" s="65"/>
      <c r="K61" s="65"/>
      <c r="L61" s="98"/>
      <c r="M61" s="65"/>
      <c r="N61" s="65"/>
      <c r="O61" s="65"/>
      <c r="P61" s="65"/>
      <c r="Q61" s="98"/>
      <c r="R61" s="65"/>
      <c r="S61" s="65"/>
      <c r="T61" s="65"/>
      <c r="U61" s="65"/>
      <c r="V61" s="98"/>
      <c r="W61" s="65"/>
      <c r="X61" s="65"/>
      <c r="Y61" s="65"/>
      <c r="Z61" s="65"/>
      <c r="AA61" s="98"/>
      <c r="AB61" s="65"/>
      <c r="AC61" s="65"/>
      <c r="AD61" s="65"/>
      <c r="AE61" s="65"/>
      <c r="AF61" s="98"/>
      <c r="AG61" s="65"/>
      <c r="AH61" s="98"/>
    </row>
    <row r="62" spans="2:34" x14ac:dyDescent="0.25">
      <c r="B62" s="109" t="s">
        <v>114</v>
      </c>
      <c r="C62" s="68">
        <v>-332</v>
      </c>
      <c r="D62" s="68">
        <f>-946-C62</f>
        <v>-614</v>
      </c>
      <c r="E62" s="68">
        <f>-1228-C62-D62</f>
        <v>-282</v>
      </c>
      <c r="F62" s="68">
        <f t="shared" ref="F62:F63" si="22">G62-SUM(C62:E62)</f>
        <v>-551</v>
      </c>
      <c r="G62" s="99">
        <v>-1779</v>
      </c>
      <c r="H62" s="68">
        <v>-325</v>
      </c>
      <c r="I62" s="68">
        <f>-728-H62</f>
        <v>-403</v>
      </c>
      <c r="J62" s="68">
        <f>-1195-I62-H62</f>
        <v>-467</v>
      </c>
      <c r="K62" s="68">
        <f>L62-SUM(H62:J62)</f>
        <v>-363</v>
      </c>
      <c r="L62" s="99">
        <v>-1558</v>
      </c>
      <c r="M62" s="68">
        <v>-291</v>
      </c>
      <c r="N62" s="68">
        <f>-725-M62</f>
        <v>-434</v>
      </c>
      <c r="O62" s="68">
        <f>-1002-M62-N62</f>
        <v>-277</v>
      </c>
      <c r="P62" s="68">
        <f>Q62-SUM(M62:O62)</f>
        <v>-459</v>
      </c>
      <c r="Q62" s="99">
        <v>-1461</v>
      </c>
      <c r="R62" s="68">
        <v>-293</v>
      </c>
      <c r="S62" s="68">
        <v>-363</v>
      </c>
      <c r="T62" s="68">
        <v>-227</v>
      </c>
      <c r="U62" s="68">
        <f t="shared" si="0"/>
        <v>-369</v>
      </c>
      <c r="V62" s="99">
        <v>-1252</v>
      </c>
      <c r="W62" s="68">
        <v>-166</v>
      </c>
      <c r="X62" s="68">
        <v>-456</v>
      </c>
      <c r="Y62" s="68">
        <v>-251</v>
      </c>
      <c r="Z62" s="68">
        <v>-447</v>
      </c>
      <c r="AA62" s="99">
        <v>-1320</v>
      </c>
      <c r="AB62" s="68">
        <v>-335</v>
      </c>
      <c r="AC62" s="68">
        <v>-391</v>
      </c>
      <c r="AD62" s="68">
        <v>-291</v>
      </c>
      <c r="AE62" s="68">
        <v>-408</v>
      </c>
      <c r="AF62" s="99">
        <v>-1425</v>
      </c>
      <c r="AG62" s="68">
        <v>-338</v>
      </c>
      <c r="AH62" s="99">
        <f t="shared" ref="AH62:AH63" si="23">AG62</f>
        <v>-338</v>
      </c>
    </row>
    <row r="63" spans="2:34" x14ac:dyDescent="0.25">
      <c r="B63" s="109" t="s">
        <v>102</v>
      </c>
      <c r="C63" s="68">
        <v>-149</v>
      </c>
      <c r="D63" s="68">
        <f>-239-C63</f>
        <v>-90</v>
      </c>
      <c r="E63" s="68">
        <f>-347-C63-D63</f>
        <v>-108</v>
      </c>
      <c r="F63" s="68">
        <f t="shared" si="22"/>
        <v>-144</v>
      </c>
      <c r="G63" s="99">
        <v>-491</v>
      </c>
      <c r="H63" s="68">
        <v>-152</v>
      </c>
      <c r="I63" s="68">
        <f>-297-H63</f>
        <v>-145</v>
      </c>
      <c r="J63" s="68">
        <f>-408-I63-H63</f>
        <v>-111</v>
      </c>
      <c r="K63" s="68">
        <f>L63-SUM(H63:J63)</f>
        <v>-280</v>
      </c>
      <c r="L63" s="99">
        <v>-688</v>
      </c>
      <c r="M63" s="68">
        <v>-239</v>
      </c>
      <c r="N63" s="68">
        <f>-421-M63</f>
        <v>-182</v>
      </c>
      <c r="O63" s="68">
        <f>-552-M63-N63</f>
        <v>-131</v>
      </c>
      <c r="P63" s="68">
        <f>Q63-SUM(M63:O63)</f>
        <v>-62</v>
      </c>
      <c r="Q63" s="99">
        <v>-614</v>
      </c>
      <c r="R63" s="68">
        <v>35</v>
      </c>
      <c r="S63" s="68">
        <v>-38</v>
      </c>
      <c r="T63" s="68">
        <v>-89</v>
      </c>
      <c r="U63" s="68">
        <f t="shared" si="0"/>
        <v>-97</v>
      </c>
      <c r="V63" s="99">
        <v>-189</v>
      </c>
      <c r="W63" s="68">
        <v>-137</v>
      </c>
      <c r="X63" s="68">
        <v>-73</v>
      </c>
      <c r="Y63" s="68">
        <v>-61</v>
      </c>
      <c r="Z63" s="68">
        <v>-136</v>
      </c>
      <c r="AA63" s="99">
        <v>-407</v>
      </c>
      <c r="AB63" s="68">
        <v>-546</v>
      </c>
      <c r="AC63" s="68">
        <v>-146</v>
      </c>
      <c r="AD63" s="68">
        <v>-226</v>
      </c>
      <c r="AE63" s="68">
        <v>-245</v>
      </c>
      <c r="AF63" s="99">
        <v>-1163</v>
      </c>
      <c r="AG63" s="68">
        <v>-581</v>
      </c>
      <c r="AH63" s="99">
        <f t="shared" si="23"/>
        <v>-581</v>
      </c>
    </row>
    <row r="64" spans="2:34" s="108" customFormat="1" x14ac:dyDescent="0.25">
      <c r="B64" s="105" t="s">
        <v>176</v>
      </c>
      <c r="C64" s="71">
        <f t="shared" ref="C64:R64" si="24">SUM(C60:C63)</f>
        <v>1254</v>
      </c>
      <c r="D64" s="71">
        <f t="shared" si="24"/>
        <v>885</v>
      </c>
      <c r="E64" s="71">
        <f t="shared" si="24"/>
        <v>34</v>
      </c>
      <c r="F64" s="71">
        <f t="shared" si="24"/>
        <v>2619</v>
      </c>
      <c r="G64" s="101">
        <f t="shared" si="24"/>
        <v>4792</v>
      </c>
      <c r="H64" s="81">
        <f t="shared" si="24"/>
        <v>-488</v>
      </c>
      <c r="I64" s="71">
        <f t="shared" si="24"/>
        <v>229</v>
      </c>
      <c r="J64" s="71">
        <f t="shared" si="24"/>
        <v>588</v>
      </c>
      <c r="K64" s="71">
        <f t="shared" si="24"/>
        <v>1782</v>
      </c>
      <c r="L64" s="101">
        <f t="shared" si="24"/>
        <v>2111</v>
      </c>
      <c r="M64" s="71">
        <f t="shared" si="24"/>
        <v>-530</v>
      </c>
      <c r="N64" s="71">
        <f t="shared" si="24"/>
        <v>827</v>
      </c>
      <c r="O64" s="71">
        <f t="shared" si="24"/>
        <v>615</v>
      </c>
      <c r="P64" s="71">
        <f t="shared" si="24"/>
        <v>1103</v>
      </c>
      <c r="Q64" s="101">
        <f t="shared" si="24"/>
        <v>2015</v>
      </c>
      <c r="R64" s="80">
        <f t="shared" si="24"/>
        <v>-1716</v>
      </c>
      <c r="S64" s="80">
        <f t="shared" ref="S64:T64" si="25">SUM(S60:S63)</f>
        <v>-681</v>
      </c>
      <c r="T64" s="80">
        <f t="shared" si="25"/>
        <v>2375</v>
      </c>
      <c r="U64" s="80">
        <f t="shared" si="0"/>
        <v>1119</v>
      </c>
      <c r="V64" s="101">
        <f t="shared" ref="V64" si="26">SUM(V60:V63)</f>
        <v>1097</v>
      </c>
      <c r="W64" s="80">
        <f t="shared" ref="W64:X64" si="27">SUM(W60:W63)</f>
        <v>-1571</v>
      </c>
      <c r="X64" s="80">
        <f t="shared" si="27"/>
        <v>562.27087803777999</v>
      </c>
      <c r="Y64" s="80">
        <f t="shared" ref="Y64:Z64" si="28">SUM(Y60:Y63)</f>
        <v>2957</v>
      </c>
      <c r="Z64" s="80">
        <f t="shared" si="28"/>
        <v>2484.3546414287152</v>
      </c>
      <c r="AA64" s="101">
        <f t="shared" ref="AA64:AC64" si="29">SUM(AA60:AA63)</f>
        <v>4432.6255194664946</v>
      </c>
      <c r="AB64" s="80">
        <f t="shared" si="29"/>
        <v>740</v>
      </c>
      <c r="AC64" s="136">
        <f t="shared" si="29"/>
        <v>1867</v>
      </c>
      <c r="AD64" s="136">
        <f t="shared" ref="AD64:AF64" si="30">SUM(AD60:AD63)</f>
        <v>3297</v>
      </c>
      <c r="AE64" s="136">
        <f t="shared" si="30"/>
        <v>5264</v>
      </c>
      <c r="AF64" s="101">
        <f t="shared" si="30"/>
        <v>11168</v>
      </c>
      <c r="AG64" s="136">
        <f t="shared" ref="AG64:AH64" si="31">SUM(AG60:AG63)</f>
        <v>-1150</v>
      </c>
      <c r="AH64" s="101">
        <f t="shared" si="31"/>
        <v>-1150</v>
      </c>
    </row>
    <row r="65" spans="2:34" x14ac:dyDescent="0.25">
      <c r="B65" s="109"/>
      <c r="C65" s="65"/>
      <c r="D65" s="65"/>
      <c r="E65" s="65"/>
      <c r="F65" s="65"/>
      <c r="G65" s="98"/>
      <c r="H65" s="65"/>
      <c r="I65" s="65"/>
      <c r="J65" s="65"/>
      <c r="K65" s="65"/>
      <c r="L65" s="98"/>
      <c r="M65" s="65"/>
      <c r="N65" s="65"/>
      <c r="O65" s="65"/>
      <c r="P65" s="65"/>
      <c r="Q65" s="98"/>
      <c r="R65" s="65"/>
      <c r="S65" s="65"/>
      <c r="T65" s="65"/>
      <c r="U65" s="65"/>
      <c r="V65" s="98"/>
      <c r="W65" s="65"/>
      <c r="X65" s="65"/>
      <c r="Y65" s="65"/>
      <c r="Z65" s="65"/>
      <c r="AA65" s="98"/>
      <c r="AB65" s="65"/>
      <c r="AC65" s="65"/>
      <c r="AD65" s="65"/>
      <c r="AE65" s="65"/>
      <c r="AF65" s="98"/>
      <c r="AG65" s="65"/>
      <c r="AH65" s="98"/>
    </row>
    <row r="66" spans="2:34" x14ac:dyDescent="0.25">
      <c r="B66" s="106" t="s">
        <v>103</v>
      </c>
      <c r="C66" s="65"/>
      <c r="D66" s="65"/>
      <c r="E66" s="65"/>
      <c r="F66" s="65"/>
      <c r="G66" s="98"/>
      <c r="H66" s="65"/>
      <c r="I66" s="65"/>
      <c r="J66" s="65"/>
      <c r="K66" s="65"/>
      <c r="L66" s="98"/>
      <c r="M66" s="65"/>
      <c r="N66" s="65"/>
      <c r="O66" s="65"/>
      <c r="P66" s="65"/>
      <c r="Q66" s="98"/>
      <c r="R66" s="65"/>
      <c r="S66" s="65"/>
      <c r="T66" s="65"/>
      <c r="U66" s="65"/>
      <c r="V66" s="98"/>
      <c r="W66" s="65"/>
      <c r="X66" s="65"/>
      <c r="Y66" s="65"/>
      <c r="Z66" s="65"/>
      <c r="AA66" s="98"/>
      <c r="AB66" s="65"/>
      <c r="AC66" s="65"/>
      <c r="AD66" s="65"/>
      <c r="AE66" s="65"/>
      <c r="AF66" s="98"/>
      <c r="AG66" s="65"/>
      <c r="AH66" s="98"/>
    </row>
    <row r="67" spans="2:34" x14ac:dyDescent="0.25">
      <c r="B67" s="109" t="s">
        <v>104</v>
      </c>
      <c r="C67" s="65">
        <v>59</v>
      </c>
      <c r="D67" s="65">
        <f>90-C67</f>
        <v>31</v>
      </c>
      <c r="E67" s="65">
        <f>127-C67-D67</f>
        <v>37</v>
      </c>
      <c r="F67" s="65">
        <f t="shared" ref="F67:F79" si="32">G67-SUM(C67:E67)</f>
        <v>252</v>
      </c>
      <c r="G67" s="98">
        <v>379</v>
      </c>
      <c r="H67" s="68">
        <v>-29</v>
      </c>
      <c r="I67" s="65">
        <f>30-H67</f>
        <v>59</v>
      </c>
      <c r="J67" s="65">
        <f>55-I67-H67</f>
        <v>25</v>
      </c>
      <c r="K67" s="65">
        <f t="shared" ref="K67:K79" si="33">L67-SUM(H67:J67)</f>
        <v>123</v>
      </c>
      <c r="L67" s="98">
        <v>178</v>
      </c>
      <c r="M67" s="65">
        <v>51</v>
      </c>
      <c r="N67" s="65">
        <f>96-M67</f>
        <v>45</v>
      </c>
      <c r="O67" s="65">
        <f>148-M67-N67</f>
        <v>52</v>
      </c>
      <c r="P67" s="65">
        <f t="shared" ref="P67:P79" si="34">Q67-SUM(M67:O67)</f>
        <v>29</v>
      </c>
      <c r="Q67" s="98">
        <v>177</v>
      </c>
      <c r="R67" s="65">
        <v>7</v>
      </c>
      <c r="S67" s="65">
        <v>51</v>
      </c>
      <c r="T67" s="65">
        <v>81</v>
      </c>
      <c r="U67" s="65">
        <f t="shared" si="0"/>
        <v>-7</v>
      </c>
      <c r="V67" s="98">
        <v>132</v>
      </c>
      <c r="W67" s="65">
        <v>11</v>
      </c>
      <c r="X67" s="65">
        <v>25</v>
      </c>
      <c r="Y67" s="65">
        <v>32</v>
      </c>
      <c r="Z67" s="65">
        <v>174</v>
      </c>
      <c r="AA67" s="98">
        <v>242</v>
      </c>
      <c r="AB67" s="65">
        <v>239</v>
      </c>
      <c r="AC67" s="65">
        <v>47</v>
      </c>
      <c r="AD67" s="65">
        <v>101</v>
      </c>
      <c r="AE67" s="65">
        <v>453</v>
      </c>
      <c r="AF67" s="98">
        <v>840</v>
      </c>
      <c r="AG67" s="65">
        <v>93</v>
      </c>
      <c r="AH67" s="98">
        <f t="shared" ref="AH67:AH79" si="35">AG67</f>
        <v>93</v>
      </c>
    </row>
    <row r="68" spans="2:34" x14ac:dyDescent="0.25">
      <c r="B68" s="109" t="s">
        <v>125</v>
      </c>
      <c r="C68" s="65">
        <v>0</v>
      </c>
      <c r="D68" s="65">
        <v>0</v>
      </c>
      <c r="E68" s="65">
        <v>0</v>
      </c>
      <c r="F68" s="65">
        <v>0</v>
      </c>
      <c r="G68" s="98">
        <v>0</v>
      </c>
      <c r="H68" s="65">
        <v>0</v>
      </c>
      <c r="I68" s="65">
        <v>0</v>
      </c>
      <c r="J68" s="65">
        <v>0</v>
      </c>
      <c r="K68" s="65">
        <f t="shared" si="33"/>
        <v>1009</v>
      </c>
      <c r="L68" s="98">
        <v>1009</v>
      </c>
      <c r="M68" s="65">
        <v>0</v>
      </c>
      <c r="N68" s="65">
        <v>0</v>
      </c>
      <c r="O68" s="65">
        <v>0</v>
      </c>
      <c r="P68" s="65">
        <f t="shared" si="34"/>
        <v>0</v>
      </c>
      <c r="Q68" s="98">
        <v>0</v>
      </c>
      <c r="R68" s="65">
        <v>0</v>
      </c>
      <c r="S68" s="65">
        <v>0</v>
      </c>
      <c r="T68" s="65">
        <v>0</v>
      </c>
      <c r="U68" s="65">
        <f t="shared" si="0"/>
        <v>0</v>
      </c>
      <c r="V68" s="98">
        <v>0</v>
      </c>
      <c r="W68" s="65">
        <v>0</v>
      </c>
      <c r="X68" s="65">
        <v>0</v>
      </c>
      <c r="Y68" s="65">
        <v>0</v>
      </c>
      <c r="Z68" s="65">
        <v>0</v>
      </c>
      <c r="AA68" s="98">
        <v>0</v>
      </c>
      <c r="AB68" s="65">
        <v>0</v>
      </c>
      <c r="AC68" s="65">
        <v>0</v>
      </c>
      <c r="AD68" s="65">
        <v>0</v>
      </c>
      <c r="AE68" s="65">
        <v>0</v>
      </c>
      <c r="AF68" s="98">
        <v>0</v>
      </c>
      <c r="AG68" s="65"/>
      <c r="AH68" s="98">
        <f t="shared" si="35"/>
        <v>0</v>
      </c>
    </row>
    <row r="69" spans="2:34" x14ac:dyDescent="0.25">
      <c r="B69" s="109" t="s">
        <v>192</v>
      </c>
      <c r="C69" s="65">
        <v>0</v>
      </c>
      <c r="D69" s="65">
        <v>0</v>
      </c>
      <c r="E69" s="65">
        <v>0</v>
      </c>
      <c r="F69" s="65">
        <v>0</v>
      </c>
      <c r="G69" s="98">
        <v>0</v>
      </c>
      <c r="H69" s="65">
        <v>0</v>
      </c>
      <c r="I69" s="65">
        <v>0</v>
      </c>
      <c r="J69" s="65">
        <v>0</v>
      </c>
      <c r="K69" s="65">
        <f t="shared" si="33"/>
        <v>753</v>
      </c>
      <c r="L69" s="98">
        <v>753</v>
      </c>
      <c r="M69" s="65">
        <v>0</v>
      </c>
      <c r="N69" s="65">
        <v>0</v>
      </c>
      <c r="O69" s="65">
        <v>0</v>
      </c>
      <c r="P69" s="65">
        <f t="shared" si="34"/>
        <v>0</v>
      </c>
      <c r="Q69" s="98">
        <v>0</v>
      </c>
      <c r="R69" s="65">
        <v>0</v>
      </c>
      <c r="S69" s="65">
        <v>0</v>
      </c>
      <c r="T69" s="65">
        <v>0</v>
      </c>
      <c r="U69" s="65">
        <f t="shared" si="0"/>
        <v>0</v>
      </c>
      <c r="V69" s="98">
        <v>0</v>
      </c>
      <c r="W69" s="65">
        <v>0</v>
      </c>
      <c r="X69" s="65">
        <v>0</v>
      </c>
      <c r="Y69" s="65">
        <v>0</v>
      </c>
      <c r="Z69" s="65">
        <v>0</v>
      </c>
      <c r="AA69" s="98">
        <v>0</v>
      </c>
      <c r="AB69" s="65">
        <v>0</v>
      </c>
      <c r="AC69" s="65">
        <v>0</v>
      </c>
      <c r="AD69" s="65">
        <v>877</v>
      </c>
      <c r="AE69" s="65">
        <v>33</v>
      </c>
      <c r="AF69" s="98">
        <v>910</v>
      </c>
      <c r="AG69" s="65"/>
      <c r="AH69" s="98">
        <f t="shared" si="35"/>
        <v>0</v>
      </c>
    </row>
    <row r="70" spans="2:34" x14ac:dyDescent="0.25">
      <c r="B70" s="109" t="s">
        <v>212</v>
      </c>
      <c r="C70" s="65">
        <v>566</v>
      </c>
      <c r="D70" s="65">
        <f>566-C70+11</f>
        <v>11</v>
      </c>
      <c r="E70" s="65">
        <f>566+82-C70-D70</f>
        <v>71</v>
      </c>
      <c r="F70" s="65">
        <f t="shared" si="32"/>
        <v>0</v>
      </c>
      <c r="G70" s="98">
        <f>566+82</f>
        <v>648</v>
      </c>
      <c r="H70" s="65">
        <v>25</v>
      </c>
      <c r="I70" s="65">
        <f>29-H70</f>
        <v>4</v>
      </c>
      <c r="J70" s="65">
        <f>33-I70-H70</f>
        <v>4</v>
      </c>
      <c r="K70" s="65">
        <f t="shared" si="33"/>
        <v>1904</v>
      </c>
      <c r="L70" s="98">
        <v>1937</v>
      </c>
      <c r="M70" s="65">
        <v>31</v>
      </c>
      <c r="N70" s="65">
        <f>31-M70</f>
        <v>0</v>
      </c>
      <c r="O70" s="65">
        <f>54-N70-M70</f>
        <v>23</v>
      </c>
      <c r="P70" s="65">
        <f t="shared" si="34"/>
        <v>365</v>
      </c>
      <c r="Q70" s="98">
        <v>419</v>
      </c>
      <c r="R70" s="65">
        <v>8181</v>
      </c>
      <c r="S70" s="65">
        <v>0</v>
      </c>
      <c r="T70" s="65">
        <v>0</v>
      </c>
      <c r="U70" s="65">
        <f t="shared" si="0"/>
        <v>0</v>
      </c>
      <c r="V70" s="98">
        <v>8181</v>
      </c>
      <c r="W70" s="65">
        <v>0</v>
      </c>
      <c r="X70" s="65">
        <v>0</v>
      </c>
      <c r="Y70" s="65">
        <v>37</v>
      </c>
      <c r="Z70" s="65">
        <v>1425</v>
      </c>
      <c r="AA70" s="98">
        <v>1462</v>
      </c>
      <c r="AB70" s="65">
        <v>1643</v>
      </c>
      <c r="AC70" s="65">
        <v>0</v>
      </c>
      <c r="AD70" s="65">
        <v>-31</v>
      </c>
      <c r="AE70" s="65">
        <v>3</v>
      </c>
      <c r="AF70" s="98">
        <v>1615</v>
      </c>
      <c r="AG70" s="65">
        <v>20</v>
      </c>
      <c r="AH70" s="98">
        <f t="shared" si="35"/>
        <v>20</v>
      </c>
    </row>
    <row r="71" spans="2:34" x14ac:dyDescent="0.25">
      <c r="B71" s="109" t="s">
        <v>105</v>
      </c>
      <c r="C71" s="65">
        <v>3</v>
      </c>
      <c r="D71" s="65">
        <f>190-C71</f>
        <v>187</v>
      </c>
      <c r="E71" s="65">
        <f>208-C71-D71</f>
        <v>18</v>
      </c>
      <c r="F71" s="65">
        <f t="shared" si="32"/>
        <v>37</v>
      </c>
      <c r="G71" s="98">
        <v>245</v>
      </c>
      <c r="H71" s="65">
        <v>22</v>
      </c>
      <c r="I71" s="65">
        <f>226-H71</f>
        <v>204</v>
      </c>
      <c r="J71" s="65">
        <f>252-I71-H71</f>
        <v>26</v>
      </c>
      <c r="K71" s="65">
        <f t="shared" si="33"/>
        <v>288</v>
      </c>
      <c r="L71" s="98">
        <v>540</v>
      </c>
      <c r="M71" s="65">
        <v>20</v>
      </c>
      <c r="N71" s="65">
        <f>152-M71</f>
        <v>132</v>
      </c>
      <c r="O71" s="65">
        <f>144-M71-N71</f>
        <v>-8</v>
      </c>
      <c r="P71" s="65">
        <f t="shared" si="34"/>
        <v>941</v>
      </c>
      <c r="Q71" s="98">
        <v>1085</v>
      </c>
      <c r="R71" s="65">
        <v>0</v>
      </c>
      <c r="S71" s="65">
        <v>9</v>
      </c>
      <c r="T71" s="65">
        <v>26</v>
      </c>
      <c r="U71" s="65">
        <f t="shared" si="0"/>
        <v>511</v>
      </c>
      <c r="V71" s="98">
        <v>546</v>
      </c>
      <c r="W71" s="65">
        <v>2</v>
      </c>
      <c r="X71" s="65">
        <v>17.719112897558631</v>
      </c>
      <c r="Y71" s="65">
        <v>27</v>
      </c>
      <c r="Z71" s="65">
        <v>125.07441095278867</v>
      </c>
      <c r="AA71" s="98">
        <v>171.7935238503473</v>
      </c>
      <c r="AB71" s="65">
        <v>131</v>
      </c>
      <c r="AC71" s="65">
        <v>87</v>
      </c>
      <c r="AD71" s="65">
        <v>0</v>
      </c>
      <c r="AE71" s="65">
        <v>253</v>
      </c>
      <c r="AF71" s="98">
        <v>471</v>
      </c>
      <c r="AG71" s="65">
        <v>15</v>
      </c>
      <c r="AH71" s="98">
        <f t="shared" si="35"/>
        <v>15</v>
      </c>
    </row>
    <row r="72" spans="2:34" x14ac:dyDescent="0.25">
      <c r="B72" s="109" t="s">
        <v>131</v>
      </c>
      <c r="C72" s="65">
        <v>0</v>
      </c>
      <c r="D72" s="65">
        <v>0</v>
      </c>
      <c r="E72" s="65">
        <v>0</v>
      </c>
      <c r="F72" s="65">
        <v>0</v>
      </c>
      <c r="G72" s="98">
        <v>0</v>
      </c>
      <c r="H72" s="65">
        <v>0</v>
      </c>
      <c r="I72" s="65">
        <v>0</v>
      </c>
      <c r="J72" s="65">
        <v>0</v>
      </c>
      <c r="K72" s="65">
        <v>0</v>
      </c>
      <c r="L72" s="98">
        <v>0</v>
      </c>
      <c r="M72" s="68">
        <v>0</v>
      </c>
      <c r="N72" s="68">
        <v>0</v>
      </c>
      <c r="O72" s="68">
        <v>-124</v>
      </c>
      <c r="P72" s="68">
        <f t="shared" si="34"/>
        <v>-1</v>
      </c>
      <c r="Q72" s="99">
        <v>-125</v>
      </c>
      <c r="R72" s="68">
        <v>-203</v>
      </c>
      <c r="S72" s="65">
        <v>87</v>
      </c>
      <c r="T72" s="65">
        <v>0</v>
      </c>
      <c r="U72" s="65">
        <f t="shared" si="0"/>
        <v>-40</v>
      </c>
      <c r="V72" s="99">
        <v>-156</v>
      </c>
      <c r="W72" s="68">
        <v>-228</v>
      </c>
      <c r="X72" s="68">
        <v>0</v>
      </c>
      <c r="Y72" s="68">
        <v>0</v>
      </c>
      <c r="Z72" s="65">
        <v>6</v>
      </c>
      <c r="AA72" s="99">
        <v>-222</v>
      </c>
      <c r="AB72" s="65">
        <v>-36</v>
      </c>
      <c r="AC72" s="65">
        <v>191</v>
      </c>
      <c r="AD72" s="65">
        <v>-684</v>
      </c>
      <c r="AE72" s="65">
        <v>-64</v>
      </c>
      <c r="AF72" s="99">
        <v>-593</v>
      </c>
      <c r="AG72" s="65">
        <v>-93</v>
      </c>
      <c r="AH72" s="99">
        <f t="shared" si="35"/>
        <v>-93</v>
      </c>
    </row>
    <row r="73" spans="2:34" x14ac:dyDescent="0.25">
      <c r="B73" s="109" t="s">
        <v>230</v>
      </c>
      <c r="C73" s="65">
        <v>0</v>
      </c>
      <c r="D73" s="65">
        <v>0</v>
      </c>
      <c r="E73" s="65">
        <v>0</v>
      </c>
      <c r="F73" s="65">
        <v>0</v>
      </c>
      <c r="G73" s="98">
        <v>0</v>
      </c>
      <c r="H73" s="65">
        <v>0</v>
      </c>
      <c r="I73" s="65">
        <v>0</v>
      </c>
      <c r="J73" s="65">
        <v>0</v>
      </c>
      <c r="K73" s="65">
        <v>0</v>
      </c>
      <c r="L73" s="98">
        <v>0</v>
      </c>
      <c r="M73" s="68">
        <v>0</v>
      </c>
      <c r="N73" s="68">
        <v>0</v>
      </c>
      <c r="O73" s="68">
        <v>0</v>
      </c>
      <c r="P73" s="68">
        <v>0</v>
      </c>
      <c r="Q73" s="99">
        <v>0</v>
      </c>
      <c r="R73" s="68">
        <v>0</v>
      </c>
      <c r="S73" s="65">
        <v>0</v>
      </c>
      <c r="T73" s="65">
        <v>0</v>
      </c>
      <c r="U73" s="65">
        <v>0</v>
      </c>
      <c r="V73" s="99">
        <v>0</v>
      </c>
      <c r="W73" s="68">
        <v>0</v>
      </c>
      <c r="X73" s="68">
        <v>0</v>
      </c>
      <c r="Y73" s="68">
        <v>0</v>
      </c>
      <c r="Z73" s="65">
        <v>0</v>
      </c>
      <c r="AA73" s="99">
        <v>0</v>
      </c>
      <c r="AB73" s="65">
        <v>0</v>
      </c>
      <c r="AC73" s="65">
        <v>0</v>
      </c>
      <c r="AD73" s="65">
        <v>0</v>
      </c>
      <c r="AE73" s="65">
        <v>-1368</v>
      </c>
      <c r="AF73" s="99">
        <v>-1368</v>
      </c>
      <c r="AG73" s="65"/>
      <c r="AH73" s="99">
        <f t="shared" si="35"/>
        <v>0</v>
      </c>
    </row>
    <row r="74" spans="2:34" x14ac:dyDescent="0.25">
      <c r="B74" s="109" t="s">
        <v>106</v>
      </c>
      <c r="C74" s="68">
        <v>-646</v>
      </c>
      <c r="D74" s="68">
        <f>-1420-C74</f>
        <v>-774</v>
      </c>
      <c r="E74" s="68">
        <f>-2124-D74-C74</f>
        <v>-704</v>
      </c>
      <c r="F74" s="68">
        <f t="shared" si="32"/>
        <v>-902</v>
      </c>
      <c r="G74" s="99">
        <f>-3026</f>
        <v>-3026</v>
      </c>
      <c r="H74" s="68">
        <v>-568</v>
      </c>
      <c r="I74" s="68">
        <f>-1297-H74</f>
        <v>-729</v>
      </c>
      <c r="J74" s="68">
        <f>-1971-I74-H74</f>
        <v>-674</v>
      </c>
      <c r="K74" s="68">
        <f t="shared" si="33"/>
        <v>-1137</v>
      </c>
      <c r="L74" s="99">
        <v>-3108</v>
      </c>
      <c r="M74" s="68">
        <v>-342</v>
      </c>
      <c r="N74" s="68">
        <f>-856-M74</f>
        <v>-514</v>
      </c>
      <c r="O74" s="68">
        <f>-1448-M74-N74</f>
        <v>-592</v>
      </c>
      <c r="P74" s="68">
        <f t="shared" si="34"/>
        <v>-1119</v>
      </c>
      <c r="Q74" s="99">
        <v>-2567</v>
      </c>
      <c r="R74" s="68">
        <v>-463</v>
      </c>
      <c r="S74" s="68">
        <v>-719</v>
      </c>
      <c r="T74" s="68">
        <v>-799</v>
      </c>
      <c r="U74" s="68">
        <f t="shared" si="0"/>
        <v>-1208</v>
      </c>
      <c r="V74" s="99">
        <v>-3189</v>
      </c>
      <c r="W74" s="68">
        <v>-665</v>
      </c>
      <c r="X74" s="68">
        <v>-686</v>
      </c>
      <c r="Y74" s="68">
        <v>-869</v>
      </c>
      <c r="Z74" s="68">
        <v>-1296</v>
      </c>
      <c r="AA74" s="99">
        <v>-3516</v>
      </c>
      <c r="AB74" s="68">
        <v>-835</v>
      </c>
      <c r="AC74" s="68">
        <v>-1111</v>
      </c>
      <c r="AD74" s="68">
        <v>-1335</v>
      </c>
      <c r="AE74" s="68">
        <v>-2065</v>
      </c>
      <c r="AF74" s="99">
        <v>-5346</v>
      </c>
      <c r="AG74" s="68">
        <v>-837</v>
      </c>
      <c r="AH74" s="99">
        <f t="shared" si="35"/>
        <v>-837</v>
      </c>
    </row>
    <row r="75" spans="2:34" x14ac:dyDescent="0.25">
      <c r="B75" s="109" t="s">
        <v>213</v>
      </c>
      <c r="C75" s="68">
        <v>-1</v>
      </c>
      <c r="D75" s="65">
        <f>0-C75</f>
        <v>1</v>
      </c>
      <c r="E75" s="68">
        <f>-8-D75-C75</f>
        <v>-8</v>
      </c>
      <c r="F75" s="65">
        <f t="shared" si="32"/>
        <v>3</v>
      </c>
      <c r="G75" s="99">
        <v>-5</v>
      </c>
      <c r="H75" s="68">
        <v>-2</v>
      </c>
      <c r="I75" s="65">
        <f>-1-H75</f>
        <v>1</v>
      </c>
      <c r="J75" s="65">
        <f>-1-H75-I75</f>
        <v>0</v>
      </c>
      <c r="K75" s="68">
        <f t="shared" si="33"/>
        <v>-3</v>
      </c>
      <c r="L75" s="99">
        <v>-4</v>
      </c>
      <c r="M75" s="65">
        <v>-3</v>
      </c>
      <c r="N75" s="65">
        <f>-10-M75</f>
        <v>-7</v>
      </c>
      <c r="O75" s="65">
        <f>-10-M75-N75</f>
        <v>0</v>
      </c>
      <c r="P75" s="65">
        <f t="shared" si="34"/>
        <v>1</v>
      </c>
      <c r="Q75" s="99">
        <v>-9</v>
      </c>
      <c r="R75" s="65">
        <v>0</v>
      </c>
      <c r="S75" s="65">
        <v>0</v>
      </c>
      <c r="T75" s="65">
        <v>0</v>
      </c>
      <c r="U75" s="65">
        <f t="shared" si="0"/>
        <v>-11</v>
      </c>
      <c r="V75" s="99">
        <v>-11</v>
      </c>
      <c r="W75" s="65">
        <v>5</v>
      </c>
      <c r="X75" s="65">
        <v>-8.0711996145560505</v>
      </c>
      <c r="Y75" s="65">
        <v>-13</v>
      </c>
      <c r="Z75" s="65">
        <v>9.2683245864968029</v>
      </c>
      <c r="AA75" s="99">
        <v>-6.8028750280592476</v>
      </c>
      <c r="AB75" s="65">
        <v>1</v>
      </c>
      <c r="AC75" s="65">
        <v>-4</v>
      </c>
      <c r="AD75" s="65">
        <v>8</v>
      </c>
      <c r="AE75" s="65">
        <v>-5</v>
      </c>
      <c r="AF75" s="99">
        <v>0</v>
      </c>
      <c r="AG75" s="65">
        <v>6</v>
      </c>
      <c r="AH75" s="99">
        <f t="shared" si="35"/>
        <v>6</v>
      </c>
    </row>
    <row r="76" spans="2:34" x14ac:dyDescent="0.25">
      <c r="B76" s="109" t="s">
        <v>214</v>
      </c>
      <c r="C76" s="68">
        <v>-56</v>
      </c>
      <c r="D76" s="68">
        <f>-104-C76</f>
        <v>-48</v>
      </c>
      <c r="E76" s="65">
        <f>-97-D76-C76</f>
        <v>7</v>
      </c>
      <c r="F76" s="68">
        <f t="shared" si="32"/>
        <v>-84</v>
      </c>
      <c r="G76" s="99">
        <v>-181</v>
      </c>
      <c r="H76" s="68">
        <v>-12</v>
      </c>
      <c r="I76" s="68">
        <f>-13-H76</f>
        <v>-1</v>
      </c>
      <c r="J76" s="68">
        <f>-65-H76-I76</f>
        <v>-52</v>
      </c>
      <c r="K76" s="68">
        <f t="shared" si="33"/>
        <v>-109</v>
      </c>
      <c r="L76" s="99">
        <v>-174</v>
      </c>
      <c r="M76" s="68">
        <v>-7</v>
      </c>
      <c r="N76" s="68">
        <f>-1-M76</f>
        <v>6</v>
      </c>
      <c r="O76" s="68">
        <f>-108-M76-N76</f>
        <v>-107</v>
      </c>
      <c r="P76" s="68">
        <f t="shared" si="34"/>
        <v>-7</v>
      </c>
      <c r="Q76" s="99">
        <v>-115</v>
      </c>
      <c r="R76" s="68">
        <v>-9</v>
      </c>
      <c r="S76" s="65">
        <v>1</v>
      </c>
      <c r="T76" s="65">
        <v>-7</v>
      </c>
      <c r="U76" s="65">
        <f t="shared" si="0"/>
        <v>-44</v>
      </c>
      <c r="V76" s="99">
        <v>-59</v>
      </c>
      <c r="W76" s="68">
        <v>-6</v>
      </c>
      <c r="X76" s="68">
        <v>-1</v>
      </c>
      <c r="Y76" s="68">
        <v>4</v>
      </c>
      <c r="Z76" s="65">
        <v>-19</v>
      </c>
      <c r="AA76" s="99">
        <v>-22</v>
      </c>
      <c r="AB76" s="65">
        <v>0</v>
      </c>
      <c r="AC76" s="65">
        <v>-61</v>
      </c>
      <c r="AD76" s="65">
        <v>-200</v>
      </c>
      <c r="AE76" s="65">
        <v>-405</v>
      </c>
      <c r="AF76" s="99">
        <v>-666</v>
      </c>
      <c r="AG76" s="65">
        <v>-84</v>
      </c>
      <c r="AH76" s="99">
        <f t="shared" si="35"/>
        <v>-84</v>
      </c>
    </row>
    <row r="77" spans="2:34" x14ac:dyDescent="0.25">
      <c r="B77" s="109" t="s">
        <v>231</v>
      </c>
      <c r="C77" s="68">
        <v>0</v>
      </c>
      <c r="D77" s="68">
        <v>0</v>
      </c>
      <c r="E77" s="65">
        <v>0</v>
      </c>
      <c r="F77" s="68">
        <v>0</v>
      </c>
      <c r="G77" s="99">
        <v>0</v>
      </c>
      <c r="H77" s="68">
        <v>0</v>
      </c>
      <c r="I77" s="68">
        <v>0</v>
      </c>
      <c r="J77" s="68">
        <v>0</v>
      </c>
      <c r="K77" s="68">
        <v>0</v>
      </c>
      <c r="L77" s="99">
        <v>0</v>
      </c>
      <c r="M77" s="68">
        <v>0</v>
      </c>
      <c r="N77" s="68">
        <v>0</v>
      </c>
      <c r="O77" s="68">
        <v>0</v>
      </c>
      <c r="P77" s="68">
        <v>0</v>
      </c>
      <c r="Q77" s="99">
        <v>0</v>
      </c>
      <c r="R77" s="68">
        <v>0</v>
      </c>
      <c r="S77" s="65">
        <v>0</v>
      </c>
      <c r="T77" s="65">
        <v>0</v>
      </c>
      <c r="U77" s="65">
        <v>0</v>
      </c>
      <c r="V77" s="99">
        <v>0</v>
      </c>
      <c r="W77" s="68">
        <v>0</v>
      </c>
      <c r="X77" s="68">
        <v>0</v>
      </c>
      <c r="Y77" s="68">
        <v>0</v>
      </c>
      <c r="Z77" s="65">
        <v>0</v>
      </c>
      <c r="AA77" s="99">
        <v>0</v>
      </c>
      <c r="AB77" s="65">
        <v>0</v>
      </c>
      <c r="AC77" s="65">
        <v>0</v>
      </c>
      <c r="AD77" s="65">
        <v>0</v>
      </c>
      <c r="AE77" s="65">
        <v>-58</v>
      </c>
      <c r="AF77" s="99">
        <v>-58</v>
      </c>
      <c r="AG77" s="65"/>
      <c r="AH77" s="99">
        <f t="shared" si="35"/>
        <v>0</v>
      </c>
    </row>
    <row r="78" spans="2:34" x14ac:dyDescent="0.25">
      <c r="B78" s="109" t="s">
        <v>237</v>
      </c>
      <c r="C78" s="68">
        <v>0</v>
      </c>
      <c r="D78" s="68">
        <v>0</v>
      </c>
      <c r="E78" s="65">
        <v>0</v>
      </c>
      <c r="F78" s="68">
        <v>0</v>
      </c>
      <c r="G78" s="99">
        <v>0</v>
      </c>
      <c r="H78" s="68">
        <v>0</v>
      </c>
      <c r="I78" s="68">
        <v>0</v>
      </c>
      <c r="J78" s="68">
        <v>0</v>
      </c>
      <c r="K78" s="68">
        <v>0</v>
      </c>
      <c r="L78" s="99">
        <v>0</v>
      </c>
      <c r="M78" s="68">
        <v>0</v>
      </c>
      <c r="N78" s="68">
        <v>0</v>
      </c>
      <c r="O78" s="68">
        <v>0</v>
      </c>
      <c r="P78" s="68">
        <v>0</v>
      </c>
      <c r="Q78" s="99">
        <v>0</v>
      </c>
      <c r="R78" s="68">
        <v>0</v>
      </c>
      <c r="S78" s="65">
        <v>0</v>
      </c>
      <c r="T78" s="65">
        <v>0</v>
      </c>
      <c r="U78" s="65">
        <v>0</v>
      </c>
      <c r="V78" s="99">
        <v>0</v>
      </c>
      <c r="W78" s="68">
        <v>0</v>
      </c>
      <c r="X78" s="68">
        <v>0</v>
      </c>
      <c r="Y78" s="68">
        <v>0</v>
      </c>
      <c r="Z78" s="65">
        <v>0</v>
      </c>
      <c r="AA78" s="99">
        <v>0</v>
      </c>
      <c r="AB78" s="65">
        <v>0</v>
      </c>
      <c r="AC78" s="65">
        <v>0</v>
      </c>
      <c r="AD78" s="65">
        <v>0</v>
      </c>
      <c r="AE78" s="65">
        <v>0</v>
      </c>
      <c r="AF78" s="99">
        <v>0</v>
      </c>
      <c r="AG78" s="65">
        <v>-40</v>
      </c>
      <c r="AH78" s="99">
        <f t="shared" si="35"/>
        <v>-40</v>
      </c>
    </row>
    <row r="79" spans="2:34" x14ac:dyDescent="0.25">
      <c r="B79" s="109" t="s">
        <v>102</v>
      </c>
      <c r="C79" s="68">
        <v>0</v>
      </c>
      <c r="D79" s="68">
        <v>0</v>
      </c>
      <c r="E79" s="65">
        <v>0</v>
      </c>
      <c r="F79" s="68">
        <f t="shared" si="32"/>
        <v>0</v>
      </c>
      <c r="G79" s="99">
        <v>0</v>
      </c>
      <c r="H79" s="68">
        <v>0</v>
      </c>
      <c r="I79" s="68">
        <v>0</v>
      </c>
      <c r="J79" s="65">
        <v>0</v>
      </c>
      <c r="K79" s="68">
        <f t="shared" si="33"/>
        <v>0</v>
      </c>
      <c r="L79" s="99">
        <v>0</v>
      </c>
      <c r="M79" s="68">
        <v>0</v>
      </c>
      <c r="N79" s="68">
        <v>0</v>
      </c>
      <c r="O79" s="65">
        <v>0</v>
      </c>
      <c r="P79" s="68">
        <f t="shared" si="34"/>
        <v>0</v>
      </c>
      <c r="Q79" s="99">
        <v>0</v>
      </c>
      <c r="R79" s="68">
        <v>-1287</v>
      </c>
      <c r="S79" s="65">
        <v>0</v>
      </c>
      <c r="T79" s="65">
        <v>0</v>
      </c>
      <c r="U79" s="65">
        <f t="shared" si="0"/>
        <v>0</v>
      </c>
      <c r="V79" s="99">
        <v>-1287</v>
      </c>
      <c r="W79" s="68">
        <v>0</v>
      </c>
      <c r="X79" s="68">
        <v>0</v>
      </c>
      <c r="Y79" s="68">
        <v>0</v>
      </c>
      <c r="Z79" s="65">
        <v>0</v>
      </c>
      <c r="AA79" s="99">
        <v>0</v>
      </c>
      <c r="AB79" s="65">
        <v>0</v>
      </c>
      <c r="AC79" s="65">
        <v>0</v>
      </c>
      <c r="AD79" s="65">
        <v>0</v>
      </c>
      <c r="AE79" s="65">
        <v>0</v>
      </c>
      <c r="AF79" s="99">
        <v>0</v>
      </c>
      <c r="AG79" s="65"/>
      <c r="AH79" s="99">
        <f t="shared" si="35"/>
        <v>0</v>
      </c>
    </row>
    <row r="80" spans="2:34" x14ac:dyDescent="0.25">
      <c r="B80" s="105" t="s">
        <v>177</v>
      </c>
      <c r="C80" s="81">
        <f>SUM(C67:C79)</f>
        <v>-75</v>
      </c>
      <c r="D80" s="81">
        <f t="shared" ref="D80:Q80" si="36">SUM(D67:D76)</f>
        <v>-592</v>
      </c>
      <c r="E80" s="81">
        <f t="shared" si="36"/>
        <v>-579</v>
      </c>
      <c r="F80" s="81">
        <f t="shared" si="36"/>
        <v>-694</v>
      </c>
      <c r="G80" s="102">
        <f>SUM(G67:G79)</f>
        <v>-1940</v>
      </c>
      <c r="H80" s="81">
        <f t="shared" si="36"/>
        <v>-564</v>
      </c>
      <c r="I80" s="81">
        <f t="shared" si="36"/>
        <v>-462</v>
      </c>
      <c r="J80" s="81">
        <f t="shared" si="36"/>
        <v>-671</v>
      </c>
      <c r="K80" s="71">
        <f t="shared" si="36"/>
        <v>2828</v>
      </c>
      <c r="L80" s="101">
        <f t="shared" si="36"/>
        <v>1131</v>
      </c>
      <c r="M80" s="71">
        <f t="shared" si="36"/>
        <v>-250</v>
      </c>
      <c r="N80" s="71">
        <f t="shared" si="36"/>
        <v>-338</v>
      </c>
      <c r="O80" s="71">
        <f t="shared" si="36"/>
        <v>-756</v>
      </c>
      <c r="P80" s="71">
        <f t="shared" si="36"/>
        <v>209</v>
      </c>
      <c r="Q80" s="102">
        <f t="shared" si="36"/>
        <v>-1135</v>
      </c>
      <c r="R80" s="71">
        <f>SUM(R67:R79)</f>
        <v>6226</v>
      </c>
      <c r="S80" s="81">
        <f>SUM(S67:S79)</f>
        <v>-571</v>
      </c>
      <c r="T80" s="81">
        <f>SUM(T67:T79)</f>
        <v>-699</v>
      </c>
      <c r="U80" s="81">
        <f t="shared" si="0"/>
        <v>-799</v>
      </c>
      <c r="V80" s="102">
        <f t="shared" ref="V80:AA80" si="37">SUM(V67:V79)</f>
        <v>4157</v>
      </c>
      <c r="W80" s="71">
        <f t="shared" si="37"/>
        <v>-881</v>
      </c>
      <c r="X80" s="71">
        <f t="shared" si="37"/>
        <v>-652.35208671699741</v>
      </c>
      <c r="Y80" s="71">
        <f t="shared" si="37"/>
        <v>-782</v>
      </c>
      <c r="Z80" s="71">
        <f t="shared" si="37"/>
        <v>424.34273553928546</v>
      </c>
      <c r="AA80" s="102">
        <f t="shared" si="37"/>
        <v>-1891.0093511777118</v>
      </c>
      <c r="AB80" s="71">
        <f t="shared" ref="AB80:AF80" si="38">SUM(AB67:AB79)</f>
        <v>1143</v>
      </c>
      <c r="AC80" s="71">
        <f t="shared" ref="AC80" si="39">SUM(AC67:AC79)</f>
        <v>-851</v>
      </c>
      <c r="AD80" s="71">
        <f t="shared" si="38"/>
        <v>-1264</v>
      </c>
      <c r="AE80" s="71">
        <f t="shared" si="38"/>
        <v>-3223</v>
      </c>
      <c r="AF80" s="102">
        <f t="shared" si="38"/>
        <v>-4195</v>
      </c>
      <c r="AG80" s="71">
        <f t="shared" ref="AG80:AH80" si="40">SUM(AG67:AG79)</f>
        <v>-920</v>
      </c>
      <c r="AH80" s="102">
        <f t="shared" si="40"/>
        <v>-920</v>
      </c>
    </row>
    <row r="81" spans="2:34" x14ac:dyDescent="0.25">
      <c r="B81" s="109"/>
      <c r="C81" s="65"/>
      <c r="D81" s="65"/>
      <c r="E81" s="65"/>
      <c r="F81" s="65"/>
      <c r="G81" s="98"/>
      <c r="H81" s="65"/>
      <c r="I81" s="65"/>
      <c r="J81" s="65"/>
      <c r="K81" s="65"/>
      <c r="L81" s="98"/>
      <c r="M81" s="65"/>
      <c r="N81" s="65"/>
      <c r="O81" s="65"/>
      <c r="P81" s="65"/>
      <c r="Q81" s="98"/>
      <c r="R81" s="65"/>
      <c r="S81" s="65"/>
      <c r="T81" s="65"/>
      <c r="U81" s="65"/>
      <c r="V81" s="98"/>
      <c r="W81" s="65"/>
      <c r="X81" s="65"/>
      <c r="Y81" s="65"/>
      <c r="Z81" s="65"/>
      <c r="AA81" s="98"/>
      <c r="AB81" s="65"/>
      <c r="AC81" s="65"/>
      <c r="AD81" s="65"/>
      <c r="AE81" s="65"/>
      <c r="AF81" s="98"/>
      <c r="AG81" s="65"/>
      <c r="AH81" s="98"/>
    </row>
    <row r="82" spans="2:34" x14ac:dyDescent="0.25">
      <c r="B82" s="106" t="s">
        <v>110</v>
      </c>
      <c r="C82" s="65"/>
      <c r="D82" s="65"/>
      <c r="E82" s="65"/>
      <c r="F82" s="65"/>
      <c r="G82" s="98"/>
      <c r="H82" s="65"/>
      <c r="I82" s="65"/>
      <c r="J82" s="65"/>
      <c r="K82" s="65"/>
      <c r="L82" s="98"/>
      <c r="M82" s="65"/>
      <c r="N82" s="65"/>
      <c r="O82" s="65"/>
      <c r="P82" s="65"/>
      <c r="Q82" s="98"/>
      <c r="R82" s="65"/>
      <c r="S82" s="65"/>
      <c r="T82" s="65"/>
      <c r="U82" s="65"/>
      <c r="V82" s="98"/>
      <c r="W82" s="65"/>
      <c r="X82" s="65"/>
      <c r="Y82" s="65"/>
      <c r="Z82" s="65"/>
      <c r="AA82" s="98"/>
      <c r="AB82" s="65"/>
      <c r="AC82" s="65"/>
      <c r="AD82" s="65"/>
      <c r="AE82" s="65"/>
      <c r="AF82" s="98"/>
      <c r="AG82" s="65"/>
      <c r="AH82" s="98"/>
    </row>
    <row r="83" spans="2:34" x14ac:dyDescent="0.25">
      <c r="B83" s="109" t="s">
        <v>107</v>
      </c>
      <c r="C83" s="65">
        <v>1374</v>
      </c>
      <c r="D83" s="65">
        <f>1992-C83</f>
        <v>618</v>
      </c>
      <c r="E83" s="65">
        <f>3030-D83-C83</f>
        <v>1038</v>
      </c>
      <c r="F83" s="65">
        <f t="shared" ref="F83:F89" si="41">G83-SUM(C83:E83)</f>
        <v>3132</v>
      </c>
      <c r="G83" s="98">
        <v>6162</v>
      </c>
      <c r="H83" s="65">
        <v>1211</v>
      </c>
      <c r="I83" s="65">
        <f>3568-H83</f>
        <v>2357</v>
      </c>
      <c r="J83" s="65">
        <f>4393-H83-I83</f>
        <v>825</v>
      </c>
      <c r="K83" s="65">
        <f>L83-SUM(H83:J83)</f>
        <v>1006</v>
      </c>
      <c r="L83" s="98">
        <v>5399</v>
      </c>
      <c r="M83" s="65">
        <v>595</v>
      </c>
      <c r="N83" s="65">
        <f>2088-M83</f>
        <v>1493</v>
      </c>
      <c r="O83" s="65">
        <f>2924-M83-N83</f>
        <v>836</v>
      </c>
      <c r="P83" s="65">
        <f t="shared" ref="P83:P89" si="42">Q83-SUM(M83:O83)</f>
        <v>715</v>
      </c>
      <c r="Q83" s="98">
        <v>3639</v>
      </c>
      <c r="R83" s="65">
        <v>289</v>
      </c>
      <c r="S83" s="65">
        <v>2010</v>
      </c>
      <c r="T83" s="65">
        <v>674</v>
      </c>
      <c r="U83" s="65">
        <f t="shared" si="0"/>
        <v>1350</v>
      </c>
      <c r="V83" s="98">
        <v>4323</v>
      </c>
      <c r="W83" s="65">
        <v>3625</v>
      </c>
      <c r="X83" s="65">
        <v>5782</v>
      </c>
      <c r="Y83" s="65">
        <v>562</v>
      </c>
      <c r="Z83" s="65">
        <v>1803</v>
      </c>
      <c r="AA83" s="98">
        <v>11772</v>
      </c>
      <c r="AB83" s="65">
        <v>1149</v>
      </c>
      <c r="AC83" s="65">
        <v>1355</v>
      </c>
      <c r="AD83" s="65">
        <v>1029</v>
      </c>
      <c r="AE83" s="65">
        <v>881</v>
      </c>
      <c r="AF83" s="98">
        <v>4414</v>
      </c>
      <c r="AG83" s="65">
        <v>776</v>
      </c>
      <c r="AH83" s="98">
        <f t="shared" ref="AH83:AH89" si="43">AG83</f>
        <v>776</v>
      </c>
    </row>
    <row r="84" spans="2:34" x14ac:dyDescent="0.25">
      <c r="B84" s="109" t="s">
        <v>108</v>
      </c>
      <c r="C84" s="68">
        <v>-3203</v>
      </c>
      <c r="D84" s="68">
        <f>-3927-C84</f>
        <v>-724</v>
      </c>
      <c r="E84" s="68">
        <f>-4664-D84-C84</f>
        <v>-737</v>
      </c>
      <c r="F84" s="68">
        <f t="shared" si="41"/>
        <v>-2712</v>
      </c>
      <c r="G84" s="99">
        <v>-7376</v>
      </c>
      <c r="H84" s="68">
        <v>-1083</v>
      </c>
      <c r="I84" s="68">
        <f>-2874-H84</f>
        <v>-1791</v>
      </c>
      <c r="J84" s="68">
        <f>-3818-I84-H84</f>
        <v>-944</v>
      </c>
      <c r="K84" s="68">
        <f>L84-SUM(H84:J84)</f>
        <v>-2063</v>
      </c>
      <c r="L84" s="99">
        <v>-5881</v>
      </c>
      <c r="M84" s="68">
        <v>-1961</v>
      </c>
      <c r="N84" s="68">
        <f>-3846-M84</f>
        <v>-1885</v>
      </c>
      <c r="O84" s="68">
        <f>-4812-M84-N84</f>
        <v>-966</v>
      </c>
      <c r="P84" s="68">
        <f t="shared" si="42"/>
        <v>-720</v>
      </c>
      <c r="Q84" s="99">
        <v>-5532</v>
      </c>
      <c r="R84" s="68">
        <v>-4372</v>
      </c>
      <c r="S84" s="68">
        <v>-2522</v>
      </c>
      <c r="T84" s="68">
        <v>-1263</v>
      </c>
      <c r="U84" s="68">
        <f t="shared" si="0"/>
        <v>-1199</v>
      </c>
      <c r="V84" s="99">
        <v>-9356</v>
      </c>
      <c r="W84" s="68">
        <v>-1299</v>
      </c>
      <c r="X84" s="68">
        <v>-3506</v>
      </c>
      <c r="Y84" s="68">
        <v>-2107</v>
      </c>
      <c r="Z84" s="68">
        <v>-3934</v>
      </c>
      <c r="AA84" s="99">
        <v>-10846</v>
      </c>
      <c r="AB84" s="68">
        <v>-1157</v>
      </c>
      <c r="AC84" s="68">
        <v>-2239</v>
      </c>
      <c r="AD84" s="68">
        <v>-1442</v>
      </c>
      <c r="AE84" s="68">
        <v>-1941</v>
      </c>
      <c r="AF84" s="99">
        <v>-6779</v>
      </c>
      <c r="AG84" s="68">
        <v>-807</v>
      </c>
      <c r="AH84" s="99">
        <f t="shared" si="43"/>
        <v>-807</v>
      </c>
    </row>
    <row r="85" spans="2:34" x14ac:dyDescent="0.25">
      <c r="B85" s="115" t="s">
        <v>215</v>
      </c>
      <c r="C85" s="82">
        <v>0</v>
      </c>
      <c r="D85" s="82">
        <v>0</v>
      </c>
      <c r="E85" s="82">
        <v>0</v>
      </c>
      <c r="F85" s="82">
        <v>0</v>
      </c>
      <c r="G85" s="98">
        <v>0</v>
      </c>
      <c r="H85" s="82">
        <v>0</v>
      </c>
      <c r="I85" s="82">
        <v>0</v>
      </c>
      <c r="J85" s="82">
        <v>0</v>
      </c>
      <c r="K85" s="82">
        <v>0</v>
      </c>
      <c r="L85" s="98">
        <v>0</v>
      </c>
      <c r="M85" s="82">
        <v>0</v>
      </c>
      <c r="N85" s="82">
        <v>0</v>
      </c>
      <c r="O85" s="82">
        <v>0</v>
      </c>
      <c r="P85" s="82">
        <v>0</v>
      </c>
      <c r="Q85" s="98">
        <v>0</v>
      </c>
      <c r="R85" s="68">
        <v>-52</v>
      </c>
      <c r="S85" s="68">
        <v>-32</v>
      </c>
      <c r="T85" s="68">
        <v>-55</v>
      </c>
      <c r="U85" s="68">
        <f t="shared" si="0"/>
        <v>-78</v>
      </c>
      <c r="V85" s="98">
        <v>-217</v>
      </c>
      <c r="W85" s="68">
        <v>-65</v>
      </c>
      <c r="X85" s="68">
        <v>-47</v>
      </c>
      <c r="Y85" s="68">
        <v>-66</v>
      </c>
      <c r="Z85" s="68">
        <v>-73</v>
      </c>
      <c r="AA85" s="98">
        <v>-251</v>
      </c>
      <c r="AB85" s="68">
        <v>-66</v>
      </c>
      <c r="AC85" s="68">
        <v>-135</v>
      </c>
      <c r="AD85" s="68">
        <v>-66</v>
      </c>
      <c r="AE85" s="68">
        <v>-96</v>
      </c>
      <c r="AF85" s="98">
        <v>-363</v>
      </c>
      <c r="AG85" s="68">
        <v>-67</v>
      </c>
      <c r="AH85" s="98">
        <f t="shared" si="43"/>
        <v>-67</v>
      </c>
    </row>
    <row r="86" spans="2:34" x14ac:dyDescent="0.25">
      <c r="B86" s="109" t="s">
        <v>91</v>
      </c>
      <c r="C86" s="68">
        <v>-23</v>
      </c>
      <c r="D86" s="68">
        <f>-133-C86</f>
        <v>-110</v>
      </c>
      <c r="E86" s="68">
        <f>-251-D86-C86</f>
        <v>-118</v>
      </c>
      <c r="F86" s="68">
        <f t="shared" si="41"/>
        <v>-120</v>
      </c>
      <c r="G86" s="99">
        <v>-371</v>
      </c>
      <c r="H86" s="68">
        <v>-81</v>
      </c>
      <c r="I86" s="68">
        <f>-115-H86</f>
        <v>-34</v>
      </c>
      <c r="J86" s="68">
        <f>-211-I86-H86</f>
        <v>-96</v>
      </c>
      <c r="K86" s="68">
        <f>L86-SUM(H86:J86)</f>
        <v>-350</v>
      </c>
      <c r="L86" s="99">
        <v>-561</v>
      </c>
      <c r="M86" s="65">
        <v>-50</v>
      </c>
      <c r="N86" s="65">
        <f>-7-M86</f>
        <v>43</v>
      </c>
      <c r="O86" s="65">
        <f>-12-M86-N86</f>
        <v>-5</v>
      </c>
      <c r="P86" s="65">
        <f t="shared" si="42"/>
        <v>1</v>
      </c>
      <c r="Q86" s="99">
        <v>-11</v>
      </c>
      <c r="R86" s="65">
        <v>60</v>
      </c>
      <c r="S86" s="68">
        <v>-68</v>
      </c>
      <c r="T86" s="68">
        <v>14</v>
      </c>
      <c r="U86" s="68">
        <f t="shared" ref="U86:U100" si="44">V86-SUM(R86:T86)</f>
        <v>-13</v>
      </c>
      <c r="V86" s="99">
        <v>-7</v>
      </c>
      <c r="W86" s="65">
        <v>103</v>
      </c>
      <c r="X86" s="65">
        <v>-35</v>
      </c>
      <c r="Y86" s="65">
        <v>11</v>
      </c>
      <c r="Z86" s="68">
        <v>-24</v>
      </c>
      <c r="AA86" s="99">
        <v>55</v>
      </c>
      <c r="AB86" s="68">
        <v>34</v>
      </c>
      <c r="AC86" s="68">
        <v>-2</v>
      </c>
      <c r="AD86" s="68">
        <v>-74</v>
      </c>
      <c r="AE86" s="68">
        <v>84</v>
      </c>
      <c r="AF86" s="99">
        <v>42</v>
      </c>
      <c r="AG86" s="68">
        <v>-32</v>
      </c>
      <c r="AH86" s="99">
        <f t="shared" si="43"/>
        <v>-32</v>
      </c>
    </row>
    <row r="87" spans="2:34" x14ac:dyDescent="0.25">
      <c r="B87" s="109" t="s">
        <v>126</v>
      </c>
      <c r="C87" s="65">
        <v>0</v>
      </c>
      <c r="D87" s="65">
        <v>0</v>
      </c>
      <c r="E87" s="65">
        <v>0</v>
      </c>
      <c r="F87" s="65">
        <v>0</v>
      </c>
      <c r="G87" s="98">
        <v>0</v>
      </c>
      <c r="H87" s="65">
        <v>0</v>
      </c>
      <c r="I87" s="65">
        <v>0</v>
      </c>
      <c r="J87" s="65">
        <v>0</v>
      </c>
      <c r="K87" s="65">
        <v>0</v>
      </c>
      <c r="L87" s="98">
        <v>0</v>
      </c>
      <c r="M87" s="65">
        <v>-95</v>
      </c>
      <c r="N87" s="65">
        <f>-95-M87</f>
        <v>0</v>
      </c>
      <c r="O87" s="65">
        <f>-95-M87-N87</f>
        <v>0</v>
      </c>
      <c r="P87" s="65">
        <f t="shared" si="42"/>
        <v>0</v>
      </c>
      <c r="Q87" s="99">
        <v>-95</v>
      </c>
      <c r="R87" s="65">
        <v>0</v>
      </c>
      <c r="S87" s="65">
        <v>0</v>
      </c>
      <c r="T87" s="65">
        <v>0</v>
      </c>
      <c r="U87" s="65">
        <f t="shared" si="44"/>
        <v>0</v>
      </c>
      <c r="V87" s="99">
        <v>0</v>
      </c>
      <c r="W87" s="65">
        <v>0</v>
      </c>
      <c r="X87" s="65">
        <v>0</v>
      </c>
      <c r="Y87" s="65">
        <v>0</v>
      </c>
      <c r="Z87" s="65">
        <v>0</v>
      </c>
      <c r="AA87" s="99">
        <v>0</v>
      </c>
      <c r="AB87" s="65">
        <v>0</v>
      </c>
      <c r="AC87" s="65">
        <v>0</v>
      </c>
      <c r="AD87" s="65">
        <v>0</v>
      </c>
      <c r="AE87" s="65">
        <v>0</v>
      </c>
      <c r="AF87" s="99">
        <v>0</v>
      </c>
      <c r="AG87" s="65">
        <v>0</v>
      </c>
      <c r="AH87" s="99">
        <f t="shared" si="43"/>
        <v>0</v>
      </c>
    </row>
    <row r="88" spans="2:34" x14ac:dyDescent="0.25">
      <c r="B88" s="109" t="s">
        <v>216</v>
      </c>
      <c r="C88" s="65">
        <v>0</v>
      </c>
      <c r="D88" s="65">
        <v>0</v>
      </c>
      <c r="E88" s="65">
        <v>0</v>
      </c>
      <c r="F88" s="65">
        <v>0</v>
      </c>
      <c r="G88" s="98">
        <v>0</v>
      </c>
      <c r="H88" s="65">
        <v>0</v>
      </c>
      <c r="I88" s="65">
        <v>0</v>
      </c>
      <c r="J88" s="65">
        <v>0</v>
      </c>
      <c r="K88" s="65">
        <v>0</v>
      </c>
      <c r="L88" s="98">
        <v>0</v>
      </c>
      <c r="M88" s="65">
        <v>0</v>
      </c>
      <c r="N88" s="65">
        <v>0</v>
      </c>
      <c r="O88" s="65">
        <v>0</v>
      </c>
      <c r="P88" s="65">
        <v>0</v>
      </c>
      <c r="Q88" s="99">
        <v>0</v>
      </c>
      <c r="R88" s="65">
        <v>0</v>
      </c>
      <c r="S88" s="65">
        <v>0</v>
      </c>
      <c r="T88" s="65">
        <v>0</v>
      </c>
      <c r="U88" s="65">
        <f t="shared" ref="U88" si="45">V88-SUM(R88:T88)</f>
        <v>0</v>
      </c>
      <c r="V88" s="99">
        <v>0</v>
      </c>
      <c r="W88" s="65">
        <v>0</v>
      </c>
      <c r="X88" s="65">
        <v>0</v>
      </c>
      <c r="Y88" s="65">
        <v>0</v>
      </c>
      <c r="Z88" s="65">
        <v>0</v>
      </c>
      <c r="AA88" s="99">
        <v>0</v>
      </c>
      <c r="AB88" s="65">
        <v>0</v>
      </c>
      <c r="AC88" s="65">
        <v>0</v>
      </c>
      <c r="AD88" s="65">
        <v>657</v>
      </c>
      <c r="AE88" s="65">
        <v>0</v>
      </c>
      <c r="AF88" s="99">
        <v>657</v>
      </c>
      <c r="AG88" s="65">
        <v>0</v>
      </c>
      <c r="AH88" s="99">
        <f t="shared" si="43"/>
        <v>0</v>
      </c>
    </row>
    <row r="89" spans="2:34" x14ac:dyDescent="0.25">
      <c r="B89" s="109" t="s">
        <v>109</v>
      </c>
      <c r="C89" s="68">
        <v>-5</v>
      </c>
      <c r="D89" s="68">
        <f>-71-C89</f>
        <v>-66</v>
      </c>
      <c r="E89" s="68">
        <f>-76-D89-C89</f>
        <v>-5</v>
      </c>
      <c r="F89" s="68">
        <f t="shared" si="41"/>
        <v>-29</v>
      </c>
      <c r="G89" s="99">
        <v>-105</v>
      </c>
      <c r="H89" s="68">
        <v>-4</v>
      </c>
      <c r="I89" s="68">
        <f>-160-H89</f>
        <v>-156</v>
      </c>
      <c r="J89" s="68">
        <f>-194-H89-I89</f>
        <v>-34</v>
      </c>
      <c r="K89" s="68">
        <f>L89-SUM(H89:J89)</f>
        <v>-165</v>
      </c>
      <c r="L89" s="99">
        <v>-359</v>
      </c>
      <c r="M89" s="68">
        <v>-8</v>
      </c>
      <c r="N89" s="78">
        <f>-538-M89</f>
        <v>-530</v>
      </c>
      <c r="O89" s="68">
        <f>-781-25-M89-N89</f>
        <v>-268</v>
      </c>
      <c r="P89" s="68">
        <f t="shared" si="42"/>
        <v>-44</v>
      </c>
      <c r="Q89" s="99">
        <f>-789-61</f>
        <v>-850</v>
      </c>
      <c r="R89" s="68">
        <v>-1139</v>
      </c>
      <c r="S89" s="68">
        <v>-28</v>
      </c>
      <c r="T89" s="68">
        <v>-445</v>
      </c>
      <c r="U89" s="68">
        <f t="shared" si="44"/>
        <v>-27</v>
      </c>
      <c r="V89" s="99">
        <v>-1639</v>
      </c>
      <c r="W89" s="68">
        <v>-490</v>
      </c>
      <c r="X89" s="68">
        <v>-70</v>
      </c>
      <c r="Y89" s="68">
        <v>-7</v>
      </c>
      <c r="Z89" s="68">
        <v>-474</v>
      </c>
      <c r="AA89" s="99">
        <v>-1041</v>
      </c>
      <c r="AB89" s="68">
        <v>-583</v>
      </c>
      <c r="AC89" s="68">
        <v>-16</v>
      </c>
      <c r="AD89" s="68">
        <v>-520</v>
      </c>
      <c r="AE89" s="68">
        <v>-13</v>
      </c>
      <c r="AF89" s="99">
        <v>-1132</v>
      </c>
      <c r="AG89" s="68">
        <v>-845</v>
      </c>
      <c r="AH89" s="99">
        <f t="shared" si="43"/>
        <v>-845</v>
      </c>
    </row>
    <row r="90" spans="2:34" x14ac:dyDescent="0.25">
      <c r="B90" s="105" t="s">
        <v>175</v>
      </c>
      <c r="C90" s="81">
        <f t="shared" ref="C90:R90" si="46">SUM(C83:C89)</f>
        <v>-1857</v>
      </c>
      <c r="D90" s="81">
        <f t="shared" si="46"/>
        <v>-282</v>
      </c>
      <c r="E90" s="71">
        <f t="shared" si="46"/>
        <v>178</v>
      </c>
      <c r="F90" s="71">
        <f t="shared" si="46"/>
        <v>271</v>
      </c>
      <c r="G90" s="102">
        <f t="shared" si="46"/>
        <v>-1690</v>
      </c>
      <c r="H90" s="71">
        <f t="shared" si="46"/>
        <v>43</v>
      </c>
      <c r="I90" s="71">
        <f t="shared" si="46"/>
        <v>376</v>
      </c>
      <c r="J90" s="81">
        <f t="shared" si="46"/>
        <v>-249</v>
      </c>
      <c r="K90" s="81">
        <f t="shared" si="46"/>
        <v>-1572</v>
      </c>
      <c r="L90" s="102">
        <f t="shared" si="46"/>
        <v>-1402</v>
      </c>
      <c r="M90" s="81">
        <f t="shared" si="46"/>
        <v>-1519</v>
      </c>
      <c r="N90" s="83">
        <f t="shared" si="46"/>
        <v>-879</v>
      </c>
      <c r="O90" s="81">
        <f t="shared" si="46"/>
        <v>-403</v>
      </c>
      <c r="P90" s="81">
        <f t="shared" si="46"/>
        <v>-48</v>
      </c>
      <c r="Q90" s="102">
        <f t="shared" si="46"/>
        <v>-2849</v>
      </c>
      <c r="R90" s="81">
        <f t="shared" si="46"/>
        <v>-5214</v>
      </c>
      <c r="S90" s="81">
        <f t="shared" ref="S90:W90" si="47">SUM(S83:S89)</f>
        <v>-640</v>
      </c>
      <c r="T90" s="81">
        <f t="shared" si="47"/>
        <v>-1075</v>
      </c>
      <c r="U90" s="81">
        <f t="shared" si="44"/>
        <v>33</v>
      </c>
      <c r="V90" s="102">
        <f t="shared" si="47"/>
        <v>-6896</v>
      </c>
      <c r="W90" s="81">
        <f t="shared" si="47"/>
        <v>1874</v>
      </c>
      <c r="X90" s="81">
        <f t="shared" ref="X90:Z90" si="48">SUM(X83:X89)</f>
        <v>2124</v>
      </c>
      <c r="Y90" s="81">
        <f t="shared" si="48"/>
        <v>-1607</v>
      </c>
      <c r="Z90" s="81">
        <f t="shared" si="48"/>
        <v>-2702</v>
      </c>
      <c r="AA90" s="102">
        <f t="shared" ref="AA90:AC90" si="49">SUM(AA83:AA89)</f>
        <v>-311</v>
      </c>
      <c r="AB90" s="81">
        <f t="shared" si="49"/>
        <v>-623</v>
      </c>
      <c r="AC90" s="81">
        <f t="shared" si="49"/>
        <v>-1037</v>
      </c>
      <c r="AD90" s="81">
        <f t="shared" ref="AD90:AF90" si="50">SUM(AD83:AD89)</f>
        <v>-416</v>
      </c>
      <c r="AE90" s="81">
        <f t="shared" si="50"/>
        <v>-1085</v>
      </c>
      <c r="AF90" s="102">
        <f t="shared" si="50"/>
        <v>-3161</v>
      </c>
      <c r="AG90" s="81">
        <f t="shared" ref="AG90:AH90" si="51">SUM(AG83:AG89)</f>
        <v>-975</v>
      </c>
      <c r="AH90" s="102">
        <f t="shared" si="51"/>
        <v>-975</v>
      </c>
    </row>
    <row r="91" spans="2:34" x14ac:dyDescent="0.25">
      <c r="B91" s="109"/>
      <c r="C91" s="65"/>
      <c r="D91" s="65"/>
      <c r="E91" s="65"/>
      <c r="F91" s="65"/>
      <c r="G91" s="98"/>
      <c r="H91" s="65"/>
      <c r="I91" s="65"/>
      <c r="J91" s="65"/>
      <c r="K91" s="65"/>
      <c r="L91" s="98"/>
      <c r="M91" s="65"/>
      <c r="N91" s="77"/>
      <c r="O91" s="65"/>
      <c r="P91" s="65"/>
      <c r="Q91" s="98"/>
      <c r="R91" s="65"/>
      <c r="S91" s="65"/>
      <c r="T91" s="65"/>
      <c r="U91" s="65"/>
      <c r="V91" s="98"/>
      <c r="W91" s="65"/>
      <c r="X91" s="65"/>
      <c r="Y91" s="65"/>
      <c r="Z91" s="65"/>
      <c r="AA91" s="98"/>
      <c r="AB91" s="65"/>
      <c r="AC91" s="65"/>
      <c r="AD91" s="65"/>
      <c r="AE91" s="65"/>
      <c r="AF91" s="98"/>
      <c r="AG91" s="65"/>
      <c r="AH91" s="98"/>
    </row>
    <row r="92" spans="2:34" x14ac:dyDescent="0.25">
      <c r="B92" s="109" t="s">
        <v>174</v>
      </c>
      <c r="C92" s="66">
        <f t="shared" ref="C92:R92" si="52">C64+C80+C90</f>
        <v>-678</v>
      </c>
      <c r="D92" s="66">
        <f t="shared" si="52"/>
        <v>11</v>
      </c>
      <c r="E92" s="66">
        <f t="shared" si="52"/>
        <v>-367</v>
      </c>
      <c r="F92" s="66">
        <f t="shared" si="52"/>
        <v>2196</v>
      </c>
      <c r="G92" s="103">
        <f t="shared" si="52"/>
        <v>1162</v>
      </c>
      <c r="H92" s="66">
        <f t="shared" si="52"/>
        <v>-1009</v>
      </c>
      <c r="I92" s="66">
        <f t="shared" si="52"/>
        <v>143</v>
      </c>
      <c r="J92" s="66">
        <f t="shared" si="52"/>
        <v>-332</v>
      </c>
      <c r="K92" s="66">
        <f t="shared" si="52"/>
        <v>3038</v>
      </c>
      <c r="L92" s="103">
        <f t="shared" si="52"/>
        <v>1840</v>
      </c>
      <c r="M92" s="66">
        <f t="shared" si="52"/>
        <v>-2299</v>
      </c>
      <c r="N92" s="84">
        <f t="shared" si="52"/>
        <v>-390</v>
      </c>
      <c r="O92" s="66">
        <f t="shared" si="52"/>
        <v>-544</v>
      </c>
      <c r="P92" s="66">
        <f t="shared" si="52"/>
        <v>1264</v>
      </c>
      <c r="Q92" s="103">
        <f t="shared" si="52"/>
        <v>-1969</v>
      </c>
      <c r="R92" s="66">
        <f t="shared" si="52"/>
        <v>-704</v>
      </c>
      <c r="S92" s="66">
        <f t="shared" ref="S92:W92" si="53">S64+S80+S90</f>
        <v>-1892</v>
      </c>
      <c r="T92" s="66">
        <f t="shared" si="53"/>
        <v>601</v>
      </c>
      <c r="U92" s="66">
        <f t="shared" si="44"/>
        <v>353</v>
      </c>
      <c r="V92" s="103">
        <f t="shared" si="53"/>
        <v>-1642</v>
      </c>
      <c r="W92" s="66">
        <f t="shared" si="53"/>
        <v>-578</v>
      </c>
      <c r="X92" s="66">
        <f t="shared" ref="X92:Z92" si="54">X64+X80+X90</f>
        <v>2033.9187913207825</v>
      </c>
      <c r="Y92" s="66">
        <f t="shared" si="54"/>
        <v>568</v>
      </c>
      <c r="Z92" s="66">
        <f t="shared" si="54"/>
        <v>206.69737696800075</v>
      </c>
      <c r="AA92" s="103">
        <f t="shared" ref="AA92:AC92" si="55">AA64+AA80+AA90</f>
        <v>2230.6161682887828</v>
      </c>
      <c r="AB92" s="66">
        <f t="shared" si="55"/>
        <v>1260</v>
      </c>
      <c r="AC92" s="84">
        <f t="shared" si="55"/>
        <v>-21</v>
      </c>
      <c r="AD92" s="84">
        <f t="shared" ref="AD92:AG92" si="56">AD64+AD80+AD90</f>
        <v>1617</v>
      </c>
      <c r="AE92" s="84">
        <v>956</v>
      </c>
      <c r="AF92" s="103">
        <f t="shared" si="56"/>
        <v>3812</v>
      </c>
      <c r="AG92" s="84">
        <f t="shared" si="56"/>
        <v>-3045</v>
      </c>
      <c r="AH92" s="103">
        <f t="shared" ref="AH92" si="57">AH64+AH80+AH90</f>
        <v>-3045</v>
      </c>
    </row>
    <row r="93" spans="2:34" x14ac:dyDescent="0.25">
      <c r="B93" s="109"/>
      <c r="C93" s="65"/>
      <c r="D93" s="65"/>
      <c r="E93" s="65"/>
      <c r="F93" s="68"/>
      <c r="G93" s="99"/>
      <c r="H93" s="68"/>
      <c r="I93" s="65"/>
      <c r="J93" s="65"/>
      <c r="K93" s="68"/>
      <c r="L93" s="98"/>
      <c r="M93" s="65"/>
      <c r="N93" s="77"/>
      <c r="O93" s="65"/>
      <c r="P93" s="68"/>
      <c r="Q93" s="98"/>
      <c r="R93" s="65"/>
      <c r="S93" s="65"/>
      <c r="T93" s="65"/>
      <c r="U93" s="65"/>
      <c r="V93" s="98"/>
      <c r="W93" s="65"/>
      <c r="X93" s="65"/>
      <c r="Y93" s="65"/>
      <c r="Z93" s="65"/>
      <c r="AA93" s="98"/>
      <c r="AB93" s="65"/>
      <c r="AC93" s="65"/>
      <c r="AD93" s="65"/>
      <c r="AE93" s="65"/>
      <c r="AF93" s="98"/>
      <c r="AG93" s="65"/>
      <c r="AH93" s="98"/>
    </row>
    <row r="94" spans="2:34" x14ac:dyDescent="0.25">
      <c r="B94" s="109" t="s">
        <v>127</v>
      </c>
      <c r="C94" s="65">
        <v>177</v>
      </c>
      <c r="D94" s="65">
        <f>177-C94</f>
        <v>0</v>
      </c>
      <c r="E94" s="65">
        <f>177-D94-C94</f>
        <v>0</v>
      </c>
      <c r="F94" s="65">
        <f t="shared" ref="F94:F97" si="58">G94-SUM(C94:E94)</f>
        <v>0</v>
      </c>
      <c r="G94" s="98">
        <v>177</v>
      </c>
      <c r="H94" s="65">
        <v>0</v>
      </c>
      <c r="I94" s="65">
        <v>0</v>
      </c>
      <c r="J94" s="65">
        <v>0</v>
      </c>
      <c r="K94" s="65">
        <f>L94-SUM(H94:J94)</f>
        <v>0</v>
      </c>
      <c r="L94" s="98">
        <v>0</v>
      </c>
      <c r="M94" s="65">
        <v>0</v>
      </c>
      <c r="N94" s="77">
        <v>0</v>
      </c>
      <c r="O94" s="65">
        <v>0</v>
      </c>
      <c r="P94" s="65">
        <f>Q94-SUM(M94:O94)</f>
        <v>0</v>
      </c>
      <c r="Q94" s="98">
        <v>0</v>
      </c>
      <c r="R94" s="65">
        <v>0</v>
      </c>
      <c r="S94" s="65">
        <v>0</v>
      </c>
      <c r="T94" s="65">
        <v>0</v>
      </c>
      <c r="U94" s="65">
        <f t="shared" si="44"/>
        <v>0</v>
      </c>
      <c r="V94" s="98">
        <v>0</v>
      </c>
      <c r="W94" s="65">
        <v>0</v>
      </c>
      <c r="X94" s="65">
        <v>0</v>
      </c>
      <c r="Y94" s="65">
        <v>0</v>
      </c>
      <c r="Z94" s="65">
        <v>0</v>
      </c>
      <c r="AA94" s="98">
        <v>0</v>
      </c>
      <c r="AB94" s="65">
        <v>0</v>
      </c>
      <c r="AC94" s="65">
        <v>0</v>
      </c>
      <c r="AD94" s="65"/>
      <c r="AE94" s="65">
        <v>0</v>
      </c>
      <c r="AF94" s="98">
        <f t="shared" ref="AF94:AF98" si="59">SUM(AB94:AD94)</f>
        <v>0</v>
      </c>
      <c r="AG94" s="65">
        <v>0</v>
      </c>
      <c r="AH94" s="98">
        <f t="shared" ref="AH94:AH99" si="60">AG94</f>
        <v>0</v>
      </c>
    </row>
    <row r="95" spans="2:34" x14ac:dyDescent="0.25">
      <c r="B95" s="109" t="s">
        <v>123</v>
      </c>
      <c r="C95" s="65">
        <v>0</v>
      </c>
      <c r="D95" s="65">
        <v>0</v>
      </c>
      <c r="E95" s="65">
        <v>0</v>
      </c>
      <c r="F95" s="65">
        <v>0</v>
      </c>
      <c r="G95" s="98">
        <v>0</v>
      </c>
      <c r="H95" s="65">
        <v>0</v>
      </c>
      <c r="I95" s="65">
        <v>0</v>
      </c>
      <c r="J95" s="65">
        <v>0</v>
      </c>
      <c r="K95" s="65">
        <f>L95-SUM(H95:J95)</f>
        <v>0</v>
      </c>
      <c r="L95" s="98">
        <v>0</v>
      </c>
      <c r="M95" s="65">
        <v>0</v>
      </c>
      <c r="N95" s="77">
        <v>0</v>
      </c>
      <c r="O95" s="65">
        <v>0</v>
      </c>
      <c r="P95" s="65">
        <f>Q95-SUM(M95:O95)</f>
        <v>0</v>
      </c>
      <c r="Q95" s="98">
        <v>0</v>
      </c>
      <c r="R95" s="65">
        <v>0</v>
      </c>
      <c r="S95" s="65">
        <v>0</v>
      </c>
      <c r="T95" s="65">
        <v>0</v>
      </c>
      <c r="U95" s="65">
        <f t="shared" si="44"/>
        <v>0</v>
      </c>
      <c r="V95" s="98">
        <v>0</v>
      </c>
      <c r="W95" s="65">
        <v>0</v>
      </c>
      <c r="X95" s="65">
        <v>0</v>
      </c>
      <c r="Y95" s="65">
        <v>0</v>
      </c>
      <c r="Z95" s="65">
        <v>0</v>
      </c>
      <c r="AA95" s="98">
        <v>0</v>
      </c>
      <c r="AB95" s="65">
        <v>0</v>
      </c>
      <c r="AC95" s="65">
        <v>0</v>
      </c>
      <c r="AD95" s="65"/>
      <c r="AE95" s="65">
        <v>0</v>
      </c>
      <c r="AF95" s="98">
        <f t="shared" si="59"/>
        <v>0</v>
      </c>
      <c r="AG95" s="65">
        <v>0</v>
      </c>
      <c r="AH95" s="98">
        <f t="shared" si="60"/>
        <v>0</v>
      </c>
    </row>
    <row r="96" spans="2:34" x14ac:dyDescent="0.25">
      <c r="B96" s="109" t="s">
        <v>133</v>
      </c>
      <c r="C96" s="65">
        <v>0</v>
      </c>
      <c r="D96" s="65">
        <v>0</v>
      </c>
      <c r="E96" s="65">
        <v>0</v>
      </c>
      <c r="F96" s="65">
        <v>0</v>
      </c>
      <c r="G96" s="98">
        <v>0</v>
      </c>
      <c r="H96" s="65">
        <v>0</v>
      </c>
      <c r="I96" s="65">
        <v>0</v>
      </c>
      <c r="J96" s="65">
        <v>0</v>
      </c>
      <c r="K96" s="65">
        <v>0</v>
      </c>
      <c r="L96" s="98">
        <v>0</v>
      </c>
      <c r="M96" s="65">
        <v>0</v>
      </c>
      <c r="N96" s="78">
        <f>-14-M96</f>
        <v>-14</v>
      </c>
      <c r="O96" s="65">
        <f>-14-M96-N96</f>
        <v>0</v>
      </c>
      <c r="P96" s="68">
        <f>Q96-SUM(M96:O96)</f>
        <v>-95</v>
      </c>
      <c r="Q96" s="99">
        <f>-109</f>
        <v>-109</v>
      </c>
      <c r="R96" s="65">
        <v>0</v>
      </c>
      <c r="S96" s="65">
        <v>0</v>
      </c>
      <c r="T96" s="65">
        <v>0</v>
      </c>
      <c r="U96" s="65">
        <f t="shared" si="44"/>
        <v>0</v>
      </c>
      <c r="V96" s="99">
        <v>0</v>
      </c>
      <c r="W96" s="65">
        <v>7</v>
      </c>
      <c r="X96" s="65">
        <v>0</v>
      </c>
      <c r="Y96" s="65">
        <v>0</v>
      </c>
      <c r="Z96" s="65">
        <v>0</v>
      </c>
      <c r="AA96" s="99">
        <v>7</v>
      </c>
      <c r="AB96" s="65">
        <v>0</v>
      </c>
      <c r="AC96" s="77">
        <v>31</v>
      </c>
      <c r="AD96" s="77">
        <v>19</v>
      </c>
      <c r="AE96" s="77">
        <v>-183</v>
      </c>
      <c r="AF96" s="99">
        <v>-133</v>
      </c>
      <c r="AG96" s="77">
        <v>-9</v>
      </c>
      <c r="AH96" s="99">
        <f t="shared" si="60"/>
        <v>-9</v>
      </c>
    </row>
    <row r="97" spans="2:34" x14ac:dyDescent="0.25">
      <c r="B97" s="109" t="s">
        <v>111</v>
      </c>
      <c r="C97" s="68">
        <v>-369</v>
      </c>
      <c r="D97" s="68">
        <f>-800-C97</f>
        <v>-431</v>
      </c>
      <c r="E97" s="65">
        <f>-784-D97-C97</f>
        <v>16</v>
      </c>
      <c r="F97" s="68">
        <f t="shared" si="58"/>
        <v>-258</v>
      </c>
      <c r="G97" s="99">
        <v>-1042</v>
      </c>
      <c r="H97" s="68">
        <v>-119</v>
      </c>
      <c r="I97" s="65">
        <f>481-H97</f>
        <v>600</v>
      </c>
      <c r="J97" s="68">
        <f>39-I97-H97</f>
        <v>-442</v>
      </c>
      <c r="K97" s="65">
        <f>L97-SUM(H97:J97)</f>
        <v>352</v>
      </c>
      <c r="L97" s="98">
        <v>391</v>
      </c>
      <c r="M97" s="65">
        <v>57</v>
      </c>
      <c r="N97" s="77">
        <f>796-M97</f>
        <v>739</v>
      </c>
      <c r="O97" s="65">
        <f>1031-M97-N97</f>
        <v>235</v>
      </c>
      <c r="P97" s="68">
        <f>Q97-SUM(M97:O97)</f>
        <v>-171</v>
      </c>
      <c r="Q97" s="98">
        <v>860</v>
      </c>
      <c r="R97" s="68">
        <v>-42</v>
      </c>
      <c r="S97" s="68">
        <v>-85</v>
      </c>
      <c r="T97" s="68">
        <v>476</v>
      </c>
      <c r="U97" s="68">
        <f t="shared" si="44"/>
        <v>-187</v>
      </c>
      <c r="V97" s="98">
        <v>162</v>
      </c>
      <c r="W97" s="68">
        <v>1088</v>
      </c>
      <c r="X97" s="68">
        <v>299</v>
      </c>
      <c r="Y97" s="68">
        <v>246</v>
      </c>
      <c r="Z97" s="68">
        <v>-350</v>
      </c>
      <c r="AA97" s="98">
        <v>1283</v>
      </c>
      <c r="AB97" s="68">
        <v>643</v>
      </c>
      <c r="AC97" s="68">
        <v>-984</v>
      </c>
      <c r="AD97" s="68">
        <v>557</v>
      </c>
      <c r="AE97" s="68">
        <v>3</v>
      </c>
      <c r="AF97" s="98">
        <v>219</v>
      </c>
      <c r="AG97" s="68">
        <v>-1096</v>
      </c>
      <c r="AH97" s="98">
        <f t="shared" si="60"/>
        <v>-1096</v>
      </c>
    </row>
    <row r="98" spans="2:34" x14ac:dyDescent="0.25">
      <c r="B98" s="109" t="s">
        <v>179</v>
      </c>
      <c r="C98" s="68">
        <v>0</v>
      </c>
      <c r="D98" s="68">
        <v>0</v>
      </c>
      <c r="E98" s="65">
        <v>0</v>
      </c>
      <c r="F98" s="68">
        <v>0</v>
      </c>
      <c r="G98" s="99">
        <v>0</v>
      </c>
      <c r="H98" s="68">
        <v>0</v>
      </c>
      <c r="I98" s="65">
        <v>0</v>
      </c>
      <c r="J98" s="68">
        <v>0</v>
      </c>
      <c r="K98" s="65">
        <v>0</v>
      </c>
      <c r="L98" s="98">
        <v>0</v>
      </c>
      <c r="M98" s="65">
        <v>0</v>
      </c>
      <c r="N98" s="77">
        <v>0</v>
      </c>
      <c r="O98" s="65">
        <v>0</v>
      </c>
      <c r="P98" s="68">
        <v>0</v>
      </c>
      <c r="Q98" s="98">
        <v>0</v>
      </c>
      <c r="R98" s="68">
        <v>0</v>
      </c>
      <c r="S98" s="68">
        <v>0</v>
      </c>
      <c r="T98" s="68">
        <v>0</v>
      </c>
      <c r="U98" s="68">
        <v>0</v>
      </c>
      <c r="V98" s="98">
        <v>0</v>
      </c>
      <c r="W98" s="68">
        <v>0</v>
      </c>
      <c r="X98" s="68">
        <v>0</v>
      </c>
      <c r="Y98" s="68">
        <v>378</v>
      </c>
      <c r="Z98" s="68">
        <v>0</v>
      </c>
      <c r="AA98" s="98">
        <v>0</v>
      </c>
      <c r="AB98" s="65">
        <v>0</v>
      </c>
      <c r="AC98" s="65">
        <v>0</v>
      </c>
      <c r="AD98" s="65">
        <v>0</v>
      </c>
      <c r="AE98" s="65">
        <v>0</v>
      </c>
      <c r="AF98" s="98">
        <f t="shared" si="59"/>
        <v>0</v>
      </c>
      <c r="AG98" s="65">
        <v>0</v>
      </c>
      <c r="AH98" s="98">
        <f t="shared" si="60"/>
        <v>0</v>
      </c>
    </row>
    <row r="99" spans="2:34" x14ac:dyDescent="0.25">
      <c r="B99" s="109" t="s">
        <v>112</v>
      </c>
      <c r="C99" s="65">
        <v>6649</v>
      </c>
      <c r="D99" s="65">
        <v>5779</v>
      </c>
      <c r="E99" s="65">
        <v>5359</v>
      </c>
      <c r="F99" s="65">
        <v>5008</v>
      </c>
      <c r="G99" s="98">
        <v>6649</v>
      </c>
      <c r="H99" s="65">
        <v>6946</v>
      </c>
      <c r="I99" s="65">
        <v>5818</v>
      </c>
      <c r="J99" s="65">
        <v>6561</v>
      </c>
      <c r="K99" s="65">
        <v>5788</v>
      </c>
      <c r="L99" s="98">
        <v>6946</v>
      </c>
      <c r="M99" s="65">
        <v>8960</v>
      </c>
      <c r="N99" s="77">
        <v>6718</v>
      </c>
      <c r="O99" s="65">
        <v>7053</v>
      </c>
      <c r="P99" s="65">
        <v>6754</v>
      </c>
      <c r="Q99" s="98">
        <v>8960</v>
      </c>
      <c r="R99" s="65">
        <v>7667</v>
      </c>
      <c r="S99" s="65">
        <v>6921</v>
      </c>
      <c r="T99" s="65">
        <v>4944</v>
      </c>
      <c r="U99" s="65">
        <f t="shared" si="44"/>
        <v>-11790</v>
      </c>
      <c r="V99" s="98">
        <v>7742</v>
      </c>
      <c r="W99" s="65">
        <v>6262</v>
      </c>
      <c r="X99" s="65">
        <v>6779</v>
      </c>
      <c r="Y99" s="65">
        <v>9111.9187913207825</v>
      </c>
      <c r="Z99" s="65">
        <v>10303.918791320782</v>
      </c>
      <c r="AA99" s="98">
        <v>6262</v>
      </c>
      <c r="AB99" s="65">
        <v>9783</v>
      </c>
      <c r="AC99" s="65">
        <v>11686</v>
      </c>
      <c r="AD99" s="65">
        <f>AC100</f>
        <v>10712</v>
      </c>
      <c r="AE99" s="65">
        <f>AD100</f>
        <v>12905</v>
      </c>
      <c r="AF99" s="98">
        <f>AB99</f>
        <v>9783</v>
      </c>
      <c r="AG99" s="65">
        <v>13680</v>
      </c>
      <c r="AH99" s="98">
        <f t="shared" si="60"/>
        <v>13680</v>
      </c>
    </row>
    <row r="100" spans="2:34" ht="14.95" thickBot="1" x14ac:dyDescent="0.3">
      <c r="B100" s="106" t="s">
        <v>113</v>
      </c>
      <c r="C100" s="73">
        <f t="shared" ref="C100:O100" si="61">SUM(C92:C99)</f>
        <v>5779</v>
      </c>
      <c r="D100" s="73">
        <f t="shared" si="61"/>
        <v>5359</v>
      </c>
      <c r="E100" s="73">
        <f t="shared" si="61"/>
        <v>5008</v>
      </c>
      <c r="F100" s="73">
        <f t="shared" si="61"/>
        <v>6946</v>
      </c>
      <c r="G100" s="104">
        <f t="shared" si="61"/>
        <v>6946</v>
      </c>
      <c r="H100" s="73">
        <f t="shared" si="61"/>
        <v>5818</v>
      </c>
      <c r="I100" s="73">
        <f t="shared" si="61"/>
        <v>6561</v>
      </c>
      <c r="J100" s="73">
        <f t="shared" si="61"/>
        <v>5787</v>
      </c>
      <c r="K100" s="73">
        <f t="shared" si="61"/>
        <v>9178</v>
      </c>
      <c r="L100" s="104">
        <f t="shared" si="61"/>
        <v>9177</v>
      </c>
      <c r="M100" s="73">
        <f t="shared" si="61"/>
        <v>6718</v>
      </c>
      <c r="N100" s="85">
        <f t="shared" si="61"/>
        <v>7053</v>
      </c>
      <c r="O100" s="73">
        <f t="shared" si="61"/>
        <v>6744</v>
      </c>
      <c r="P100" s="73">
        <f t="shared" ref="P100:Q100" si="62">SUM(P92:P99)</f>
        <v>7752</v>
      </c>
      <c r="Q100" s="104">
        <f t="shared" si="62"/>
        <v>7742</v>
      </c>
      <c r="R100" s="73">
        <f t="shared" ref="R100:S100" si="63">SUM(R92:R99)</f>
        <v>6921</v>
      </c>
      <c r="S100" s="73">
        <f t="shared" si="63"/>
        <v>4944</v>
      </c>
      <c r="T100" s="73">
        <f t="shared" ref="T100:W100" si="64">SUM(T92:T99)</f>
        <v>6021</v>
      </c>
      <c r="U100" s="73">
        <f t="shared" si="44"/>
        <v>-11624</v>
      </c>
      <c r="V100" s="104">
        <f t="shared" si="64"/>
        <v>6262</v>
      </c>
      <c r="W100" s="73">
        <f t="shared" si="64"/>
        <v>6779</v>
      </c>
      <c r="X100" s="73">
        <f t="shared" ref="X100:Z100" si="65">SUM(X92:X99)</f>
        <v>9111.9187913207825</v>
      </c>
      <c r="Y100" s="73">
        <f t="shared" si="65"/>
        <v>10303.918791320782</v>
      </c>
      <c r="Z100" s="73">
        <f t="shared" si="65"/>
        <v>10160.616168288783</v>
      </c>
      <c r="AA100" s="104">
        <f t="shared" ref="AA100:AC100" si="66">SUM(AA92:AA99)</f>
        <v>9782.6161682887832</v>
      </c>
      <c r="AB100" s="73">
        <f t="shared" si="66"/>
        <v>11686</v>
      </c>
      <c r="AC100" s="73">
        <f t="shared" si="66"/>
        <v>10712</v>
      </c>
      <c r="AD100" s="73">
        <f>SUM(AD92:AD99)</f>
        <v>12905</v>
      </c>
      <c r="AE100" s="73">
        <f>SUM(AE92:AE99)</f>
        <v>13681</v>
      </c>
      <c r="AF100" s="104">
        <f>SUM(AF92:AF99)</f>
        <v>13681</v>
      </c>
      <c r="AG100" s="73">
        <f>SUM(AG92:AG99)</f>
        <v>9530</v>
      </c>
      <c r="AH100" s="104">
        <f>SUM(AH92:AH99)</f>
        <v>9530</v>
      </c>
    </row>
    <row r="101" spans="2:34" ht="14.95" thickTop="1" x14ac:dyDescent="0.25"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77"/>
      <c r="O101" s="65"/>
      <c r="P101" s="65"/>
      <c r="Q101" s="65"/>
      <c r="V101" s="65"/>
    </row>
    <row r="102" spans="2:34" x14ac:dyDescent="0.25"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77"/>
      <c r="O102" s="65"/>
      <c r="P102" s="65"/>
      <c r="Q102" s="65"/>
      <c r="V102" s="65"/>
      <c r="AA102" s="65"/>
      <c r="AF102" s="65"/>
      <c r="AH102" s="65"/>
    </row>
    <row r="103" spans="2:34" x14ac:dyDescent="0.25"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V103" s="65"/>
      <c r="AA103" s="65"/>
      <c r="AF103" s="65"/>
      <c r="AH103" s="65"/>
    </row>
    <row r="104" spans="2:34" x14ac:dyDescent="0.25"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77"/>
      <c r="O104" s="65"/>
      <c r="P104" s="65"/>
      <c r="Q104" s="65"/>
      <c r="V104" s="65"/>
      <c r="AA104" s="65"/>
      <c r="AF104" s="65"/>
      <c r="AH104" s="65"/>
    </row>
    <row r="105" spans="2:34" x14ac:dyDescent="0.25"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77"/>
      <c r="O105" s="65"/>
      <c r="P105" s="65"/>
      <c r="Q105" s="65"/>
      <c r="V105" s="65"/>
      <c r="AA105" s="65"/>
      <c r="AF105" s="65"/>
      <c r="AH105" s="65"/>
    </row>
    <row r="106" spans="2:34" x14ac:dyDescent="0.25"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77"/>
      <c r="O106" s="65"/>
      <c r="P106" s="65"/>
      <c r="Q106" s="65"/>
      <c r="V106" s="65"/>
      <c r="AA106" s="65"/>
      <c r="AF106" s="65"/>
      <c r="AH106" s="65"/>
    </row>
    <row r="107" spans="2:34" x14ac:dyDescent="0.25"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77"/>
      <c r="O107" s="65"/>
      <c r="P107" s="65"/>
      <c r="Q107" s="65"/>
      <c r="V107" s="65"/>
      <c r="AA107" s="65"/>
      <c r="AF107" s="65"/>
      <c r="AH107" s="65"/>
    </row>
    <row r="108" spans="2:34" x14ac:dyDescent="0.25"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77"/>
      <c r="O108" s="65"/>
      <c r="P108" s="65"/>
      <c r="Q108" s="65"/>
      <c r="V108" s="65"/>
      <c r="AA108" s="65"/>
      <c r="AF108" s="65"/>
      <c r="AH108" s="65"/>
    </row>
  </sheetData>
  <mergeCells count="7">
    <mergeCell ref="AG4:AH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K14 K28 P18:P19 P21 P28 P34 P36 P68:P69 P72 U11 U59 U61:U63 K74:K76 V100 V92 V89:V90 L80:T82 H100:T100 H89:T97 U91:V91 U89 K79:V79 P26 L83:P83 R83:T83 H99:P99 R99:V99 U9 U43:U49 U51:U56 U74:U76 U93:V97 U81:U87 L84:T87 H80:K87 V80:V87 U17:U37 AF12:AF13 AF42:AF43 U14:U15 AF60:AF61 AF64:AF66 AF80:AF82 U65:U72 K68:K72 AF90:AF95 AF98" formulaRange="1"/>
    <ignoredError sqref="U90 U92 U100 U80 U50 U64 U57" formula="1" formulaRange="1"/>
    <ignoredError sqref="G80 C50:T5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H49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16" width="18" customWidth="1"/>
    <col min="17" max="17" width="18" style="54" customWidth="1"/>
    <col min="18" max="19" width="18" customWidth="1"/>
    <col min="20" max="20" width="18" style="74" customWidth="1"/>
    <col min="21" max="21" width="18" customWidth="1"/>
    <col min="22" max="22" width="18" style="54" customWidth="1"/>
    <col min="23" max="26" width="18" customWidth="1"/>
    <col min="27" max="27" width="18" style="54" customWidth="1"/>
    <col min="28" max="34" width="18" customWidth="1"/>
  </cols>
  <sheetData>
    <row r="4" spans="2:34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5">
        <v>2021</v>
      </c>
      <c r="AC4" s="145"/>
      <c r="AD4" s="145"/>
      <c r="AE4" s="145"/>
      <c r="AF4" s="145"/>
      <c r="AG4" s="145">
        <v>2022</v>
      </c>
      <c r="AH4" s="145"/>
    </row>
    <row r="5" spans="2:34" ht="15.65" x14ac:dyDescent="0.25">
      <c r="B5" s="4" t="s">
        <v>156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</row>
    <row r="6" spans="2:34" ht="15.65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31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6" t="s">
        <v>151</v>
      </c>
      <c r="P6" s="6" t="s">
        <v>53</v>
      </c>
      <c r="Q6" s="6" t="s">
        <v>54</v>
      </c>
      <c r="R6" s="6" t="s">
        <v>157</v>
      </c>
      <c r="S6" s="6" t="s">
        <v>159</v>
      </c>
      <c r="T6" s="75" t="s">
        <v>162</v>
      </c>
      <c r="U6" s="6" t="s">
        <v>164</v>
      </c>
      <c r="V6" s="31" t="s">
        <v>163</v>
      </c>
      <c r="W6" s="6" t="s">
        <v>167</v>
      </c>
      <c r="X6" s="6" t="s">
        <v>170</v>
      </c>
      <c r="Y6" s="6" t="s">
        <v>178</v>
      </c>
      <c r="Z6" s="6" t="s">
        <v>180</v>
      </c>
      <c r="AA6" s="31" t="s">
        <v>181</v>
      </c>
      <c r="AB6" s="6" t="s">
        <v>186</v>
      </c>
      <c r="AC6" s="6" t="s">
        <v>188</v>
      </c>
      <c r="AD6" s="6" t="s">
        <v>191</v>
      </c>
      <c r="AE6" s="6" t="s">
        <v>219</v>
      </c>
      <c r="AF6" s="141">
        <v>2021</v>
      </c>
      <c r="AG6" s="6" t="s">
        <v>233</v>
      </c>
      <c r="AH6" s="141">
        <v>2022</v>
      </c>
    </row>
    <row r="7" spans="2:34" s="74" customFormat="1" x14ac:dyDescent="0.25">
      <c r="B7" s="105" t="s">
        <v>138</v>
      </c>
      <c r="G7" s="96"/>
      <c r="L7" s="96"/>
      <c r="Q7" s="116"/>
      <c r="V7" s="116"/>
      <c r="AA7" s="116"/>
      <c r="AF7" s="116"/>
      <c r="AH7" s="116"/>
    </row>
    <row r="8" spans="2:34" s="108" customFormat="1" x14ac:dyDescent="0.25">
      <c r="B8" s="106" t="s">
        <v>134</v>
      </c>
      <c r="C8" s="76">
        <v>458</v>
      </c>
      <c r="D8" s="76">
        <v>176</v>
      </c>
      <c r="E8" s="76">
        <v>414</v>
      </c>
      <c r="F8" s="67">
        <v>-1251</v>
      </c>
      <c r="G8" s="107">
        <v>-1251</v>
      </c>
      <c r="H8" s="67">
        <v>-1939</v>
      </c>
      <c r="I8" s="67">
        <v>-1704</v>
      </c>
      <c r="J8" s="67">
        <v>-1333</v>
      </c>
      <c r="K8" s="76">
        <v>810</v>
      </c>
      <c r="L8" s="97">
        <v>810</v>
      </c>
      <c r="M8" s="76">
        <v>1506</v>
      </c>
      <c r="N8" s="76">
        <v>1098</v>
      </c>
      <c r="O8" s="76">
        <v>691</v>
      </c>
      <c r="P8" s="76">
        <v>1953</v>
      </c>
      <c r="Q8" s="97">
        <v>2309</v>
      </c>
      <c r="R8" s="76">
        <v>6194</v>
      </c>
      <c r="S8" s="76">
        <v>6273</v>
      </c>
      <c r="T8" s="76">
        <v>5703</v>
      </c>
      <c r="U8" s="76">
        <v>4925</v>
      </c>
      <c r="V8" s="97">
        <v>4925</v>
      </c>
      <c r="W8" s="76">
        <v>-2910</v>
      </c>
      <c r="X8" s="76">
        <v>-3781</v>
      </c>
      <c r="Y8" s="76">
        <v>-3245</v>
      </c>
      <c r="Z8" s="76">
        <v>-3066</v>
      </c>
      <c r="AA8" s="97">
        <v>-3066</v>
      </c>
      <c r="AB8" s="76">
        <v>1504</v>
      </c>
      <c r="AC8" s="76">
        <v>4281</v>
      </c>
      <c r="AD8" s="76">
        <v>5274</v>
      </c>
      <c r="AE8" s="76">
        <f>AF8</f>
        <v>7120</v>
      </c>
      <c r="AF8" s="97">
        <v>7120</v>
      </c>
      <c r="AG8" s="76">
        <v>7686</v>
      </c>
      <c r="AH8" s="97">
        <v>7120</v>
      </c>
    </row>
    <row r="9" spans="2:34" s="118" customFormat="1" x14ac:dyDescent="0.25">
      <c r="B9" s="117" t="s">
        <v>135</v>
      </c>
      <c r="C9" s="67"/>
      <c r="D9" s="67"/>
      <c r="E9" s="67"/>
      <c r="F9" s="67"/>
      <c r="G9" s="107"/>
      <c r="H9" s="67"/>
      <c r="I9" s="67"/>
      <c r="J9" s="67"/>
      <c r="K9" s="67"/>
      <c r="L9" s="107"/>
      <c r="M9" s="67"/>
      <c r="N9" s="67"/>
      <c r="O9" s="67"/>
      <c r="P9" s="67"/>
      <c r="Q9" s="107"/>
      <c r="R9" s="67"/>
      <c r="S9" s="67"/>
      <c r="T9" s="67"/>
      <c r="U9" s="67"/>
      <c r="V9" s="107"/>
      <c r="W9" s="67"/>
      <c r="X9" s="67"/>
      <c r="Y9" s="67"/>
      <c r="Z9" s="67"/>
      <c r="AA9" s="107"/>
      <c r="AB9" s="67"/>
      <c r="AC9" s="67"/>
      <c r="AD9" s="67"/>
      <c r="AE9" s="67"/>
      <c r="AF9" s="107"/>
      <c r="AG9" s="67"/>
      <c r="AH9" s="107"/>
    </row>
    <row r="10" spans="2:34" s="74" customFormat="1" x14ac:dyDescent="0.25">
      <c r="B10" s="105" t="s">
        <v>136</v>
      </c>
      <c r="C10" s="67"/>
      <c r="D10" s="67"/>
      <c r="E10" s="67"/>
      <c r="F10" s="67"/>
      <c r="G10" s="107"/>
      <c r="H10" s="67"/>
      <c r="I10" s="67"/>
      <c r="J10" s="67"/>
      <c r="K10" s="67"/>
      <c r="L10" s="107"/>
      <c r="M10" s="67"/>
      <c r="N10" s="67"/>
      <c r="O10" s="67"/>
      <c r="P10" s="67"/>
      <c r="Q10" s="107"/>
      <c r="R10" s="67"/>
      <c r="S10" s="67"/>
      <c r="T10" s="67"/>
      <c r="U10" s="67"/>
      <c r="V10" s="107"/>
      <c r="W10" s="67"/>
      <c r="X10" s="67"/>
      <c r="Y10" s="67"/>
      <c r="Z10" s="67"/>
      <c r="AA10" s="107"/>
      <c r="AB10" s="67"/>
      <c r="AC10" s="67"/>
      <c r="AD10" s="67"/>
      <c r="AE10" s="67"/>
      <c r="AF10" s="107"/>
      <c r="AG10" s="67"/>
      <c r="AH10" s="107"/>
    </row>
    <row r="11" spans="2:34" s="74" customFormat="1" x14ac:dyDescent="0.25">
      <c r="B11" s="109" t="s">
        <v>137</v>
      </c>
      <c r="C11" s="68">
        <f>-807+9</f>
        <v>-798</v>
      </c>
      <c r="D11" s="68">
        <f>-843+14</f>
        <v>-829</v>
      </c>
      <c r="E11" s="68">
        <f>-938+5</f>
        <v>-933</v>
      </c>
      <c r="F11" s="68">
        <v>-774</v>
      </c>
      <c r="G11" s="99">
        <v>-774</v>
      </c>
      <c r="H11" s="68">
        <f>-590+3+4</f>
        <v>-583</v>
      </c>
      <c r="I11" s="68">
        <f>-654+12-1</f>
        <v>-643</v>
      </c>
      <c r="J11" s="68">
        <v>-1105</v>
      </c>
      <c r="K11" s="68">
        <v>-1197</v>
      </c>
      <c r="L11" s="99">
        <v>-1197</v>
      </c>
      <c r="M11" s="68">
        <v>-1447</v>
      </c>
      <c r="N11" s="68">
        <v>-1212</v>
      </c>
      <c r="O11" s="68">
        <v>-839</v>
      </c>
      <c r="P11" s="68">
        <v>-1938</v>
      </c>
      <c r="Q11" s="99">
        <v>-1938</v>
      </c>
      <c r="R11" s="68">
        <v>-1334</v>
      </c>
      <c r="S11" s="68">
        <v>-1541</v>
      </c>
      <c r="T11" s="68">
        <v>-1524</v>
      </c>
      <c r="U11" s="68">
        <v>-1022</v>
      </c>
      <c r="V11" s="99">
        <v>-1022</v>
      </c>
      <c r="W11" s="68">
        <v>-799</v>
      </c>
      <c r="X11" s="68">
        <v>-397</v>
      </c>
      <c r="Y11" s="68">
        <v>-593</v>
      </c>
      <c r="Z11" s="68">
        <v>-715</v>
      </c>
      <c r="AA11" s="99">
        <v>-715</v>
      </c>
      <c r="AB11" s="68">
        <v>-945</v>
      </c>
      <c r="AC11" s="68">
        <v>-1394</v>
      </c>
      <c r="AD11" s="68">
        <v>-1026</v>
      </c>
      <c r="AE11" s="68">
        <f t="shared" ref="AE11:AE14" si="0">AF11</f>
        <v>-460</v>
      </c>
      <c r="AF11" s="99">
        <v>-460</v>
      </c>
      <c r="AG11" s="68">
        <v>-581</v>
      </c>
      <c r="AH11" s="99">
        <v>-460</v>
      </c>
    </row>
    <row r="12" spans="2:34" s="74" customFormat="1" x14ac:dyDescent="0.25">
      <c r="B12" s="109" t="s">
        <v>139</v>
      </c>
      <c r="C12" s="65">
        <f>2108-29</f>
        <v>2079</v>
      </c>
      <c r="D12" s="65">
        <f>2151-53</f>
        <v>2098</v>
      </c>
      <c r="E12" s="65">
        <f>1814-22-63</f>
        <v>1729</v>
      </c>
      <c r="F12" s="65">
        <v>1745</v>
      </c>
      <c r="G12" s="98">
        <v>1745</v>
      </c>
      <c r="H12" s="65">
        <f>1786-10+15</f>
        <v>1791</v>
      </c>
      <c r="I12" s="65">
        <f>1444-50+39</f>
        <v>1433</v>
      </c>
      <c r="J12" s="65">
        <f>1583-64</f>
        <v>1519</v>
      </c>
      <c r="K12" s="65">
        <v>2506</v>
      </c>
      <c r="L12" s="98">
        <v>2506</v>
      </c>
      <c r="M12" s="65">
        <f>2411</f>
        <v>2411</v>
      </c>
      <c r="N12" s="65">
        <v>3114</v>
      </c>
      <c r="O12" s="65">
        <v>3243</v>
      </c>
      <c r="P12" s="65">
        <v>2048</v>
      </c>
      <c r="Q12" s="98">
        <v>2048</v>
      </c>
      <c r="R12" s="65">
        <v>2113</v>
      </c>
      <c r="S12" s="65">
        <v>1686</v>
      </c>
      <c r="T12" s="65">
        <v>1514</v>
      </c>
      <c r="U12" s="65">
        <v>1624</v>
      </c>
      <c r="V12" s="98">
        <v>1624</v>
      </c>
      <c r="W12" s="65">
        <v>2706</v>
      </c>
      <c r="X12" s="65">
        <v>2803</v>
      </c>
      <c r="Y12" s="65">
        <v>3355</v>
      </c>
      <c r="Z12" s="65">
        <v>3536</v>
      </c>
      <c r="AA12" s="98">
        <v>3536</v>
      </c>
      <c r="AB12" s="65">
        <v>2532</v>
      </c>
      <c r="AC12" s="65">
        <v>1863</v>
      </c>
      <c r="AD12" s="65">
        <v>1599</v>
      </c>
      <c r="AE12" s="65">
        <f t="shared" si="0"/>
        <v>-1803</v>
      </c>
      <c r="AF12" s="98">
        <v>-1803</v>
      </c>
      <c r="AG12" s="65">
        <v>-2115</v>
      </c>
      <c r="AH12" s="98">
        <v>-1803</v>
      </c>
    </row>
    <row r="13" spans="2:34" s="74" customFormat="1" x14ac:dyDescent="0.25">
      <c r="B13" s="109" t="s">
        <v>140</v>
      </c>
      <c r="C13" s="65">
        <f>960-5</f>
        <v>955</v>
      </c>
      <c r="D13" s="65">
        <f>781-10</f>
        <v>771</v>
      </c>
      <c r="E13" s="65">
        <f>785-17</f>
        <v>768</v>
      </c>
      <c r="F13" s="68">
        <v>-397</v>
      </c>
      <c r="G13" s="99">
        <v>-397</v>
      </c>
      <c r="H13" s="68">
        <f>-483+45+3</f>
        <v>-435</v>
      </c>
      <c r="I13" s="68">
        <f>-343+66+8</f>
        <v>-269</v>
      </c>
      <c r="J13" s="68">
        <f>-489+84</f>
        <v>-405</v>
      </c>
      <c r="K13" s="65">
        <v>133</v>
      </c>
      <c r="L13" s="98">
        <v>133</v>
      </c>
      <c r="M13" s="65">
        <v>297</v>
      </c>
      <c r="N13" s="65">
        <v>229</v>
      </c>
      <c r="O13" s="65">
        <v>397</v>
      </c>
      <c r="P13" s="65">
        <v>1013</v>
      </c>
      <c r="Q13" s="98">
        <v>1013</v>
      </c>
      <c r="R13" s="65">
        <v>3183</v>
      </c>
      <c r="S13" s="65">
        <v>3189</v>
      </c>
      <c r="T13" s="65">
        <v>2911</v>
      </c>
      <c r="U13" s="65">
        <v>2168</v>
      </c>
      <c r="V13" s="98">
        <v>2168</v>
      </c>
      <c r="W13" s="65">
        <v>-572</v>
      </c>
      <c r="X13" s="65">
        <v>-630</v>
      </c>
      <c r="Y13" s="65">
        <v>105</v>
      </c>
      <c r="Z13" s="65">
        <v>1599</v>
      </c>
      <c r="AA13" s="98">
        <v>1599</v>
      </c>
      <c r="AB13" s="65">
        <v>2549</v>
      </c>
      <c r="AC13" s="65">
        <v>3379</v>
      </c>
      <c r="AD13" s="65">
        <v>3313</v>
      </c>
      <c r="AE13" s="65">
        <f t="shared" si="0"/>
        <v>3326</v>
      </c>
      <c r="AF13" s="98">
        <v>3326</v>
      </c>
      <c r="AG13" s="65">
        <v>3458</v>
      </c>
      <c r="AH13" s="98">
        <v>3326</v>
      </c>
    </row>
    <row r="14" spans="2:34" s="74" customFormat="1" x14ac:dyDescent="0.25">
      <c r="B14" s="109" t="s">
        <v>141</v>
      </c>
      <c r="C14" s="65">
        <f>2846-29</f>
        <v>2817</v>
      </c>
      <c r="D14" s="65">
        <f>2856-58</f>
        <v>2798</v>
      </c>
      <c r="E14" s="65">
        <f>2837-142</f>
        <v>2695</v>
      </c>
      <c r="F14" s="65">
        <v>2603</v>
      </c>
      <c r="G14" s="98">
        <v>2603</v>
      </c>
      <c r="H14" s="65">
        <f>2582-14-32</f>
        <v>2536</v>
      </c>
      <c r="I14" s="65">
        <f>2513-18-3</f>
        <v>2492</v>
      </c>
      <c r="J14" s="65">
        <f>2440-7</f>
        <v>2433</v>
      </c>
      <c r="K14" s="65">
        <v>2360</v>
      </c>
      <c r="L14" s="98">
        <v>2360</v>
      </c>
      <c r="M14" s="65">
        <v>2336</v>
      </c>
      <c r="N14" s="65">
        <v>2388</v>
      </c>
      <c r="O14" s="65">
        <v>2535</v>
      </c>
      <c r="P14" s="65">
        <v>2455</v>
      </c>
      <c r="Q14" s="98">
        <v>2455</v>
      </c>
      <c r="R14" s="65">
        <v>2589</v>
      </c>
      <c r="S14" s="65">
        <v>2729</v>
      </c>
      <c r="T14" s="65">
        <v>2888</v>
      </c>
      <c r="U14" s="65">
        <v>3067</v>
      </c>
      <c r="V14" s="98">
        <v>3067</v>
      </c>
      <c r="W14" s="65">
        <v>3094</v>
      </c>
      <c r="X14" s="65">
        <v>3125</v>
      </c>
      <c r="Y14" s="65">
        <v>3194</v>
      </c>
      <c r="Z14" s="65">
        <v>3293</v>
      </c>
      <c r="AA14" s="98">
        <v>3293</v>
      </c>
      <c r="AB14" s="65">
        <v>3398</v>
      </c>
      <c r="AC14" s="65">
        <v>3511</v>
      </c>
      <c r="AD14" s="65">
        <v>3589</v>
      </c>
      <c r="AE14" s="65">
        <f t="shared" si="0"/>
        <v>3637</v>
      </c>
      <c r="AF14" s="98">
        <v>3637</v>
      </c>
      <c r="AG14" s="65">
        <v>3750</v>
      </c>
      <c r="AH14" s="98">
        <v>3637</v>
      </c>
    </row>
    <row r="15" spans="2:34" s="74" customFormat="1" x14ac:dyDescent="0.25">
      <c r="B15" s="105" t="s">
        <v>124</v>
      </c>
      <c r="C15" s="67"/>
      <c r="D15" s="67"/>
      <c r="E15" s="67"/>
      <c r="F15" s="67"/>
      <c r="G15" s="107"/>
      <c r="H15" s="67"/>
      <c r="I15" s="67"/>
      <c r="J15" s="67"/>
      <c r="K15" s="67"/>
      <c r="L15" s="107"/>
      <c r="M15" s="67"/>
      <c r="N15" s="67"/>
      <c r="O15" s="67"/>
      <c r="P15" s="67"/>
      <c r="Q15" s="107"/>
      <c r="R15" s="67"/>
      <c r="S15" s="67"/>
      <c r="T15" s="67"/>
      <c r="U15" s="67"/>
      <c r="V15" s="107"/>
      <c r="W15" s="67"/>
      <c r="X15" s="67"/>
      <c r="Y15" s="67"/>
      <c r="Z15" s="67"/>
      <c r="AA15" s="107"/>
      <c r="AB15" s="67"/>
      <c r="AC15" s="67"/>
      <c r="AD15" s="67"/>
      <c r="AE15" s="67"/>
      <c r="AF15" s="107"/>
      <c r="AG15" s="67"/>
      <c r="AH15" s="107"/>
    </row>
    <row r="16" spans="2:34" s="74" customFormat="1" x14ac:dyDescent="0.25">
      <c r="B16" s="109" t="s">
        <v>137</v>
      </c>
      <c r="C16" s="68">
        <f>0-9</f>
        <v>-9</v>
      </c>
      <c r="D16" s="68">
        <f>0-14</f>
        <v>-14</v>
      </c>
      <c r="E16" s="68">
        <f>0-5</f>
        <v>-5</v>
      </c>
      <c r="F16" s="68">
        <v>-31</v>
      </c>
      <c r="G16" s="99">
        <v>-31</v>
      </c>
      <c r="H16" s="68">
        <f>-9-3-4</f>
        <v>-16</v>
      </c>
      <c r="I16" s="68">
        <f>-4-12+1</f>
        <v>-15</v>
      </c>
      <c r="J16" s="65">
        <v>12</v>
      </c>
      <c r="K16" s="68">
        <v>-151</v>
      </c>
      <c r="L16" s="99">
        <v>-151</v>
      </c>
      <c r="M16" s="68">
        <v>-149</v>
      </c>
      <c r="N16" s="68">
        <v>-141</v>
      </c>
      <c r="O16" s="68">
        <v>-151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  <c r="Y16" s="65">
        <v>0</v>
      </c>
      <c r="Z16" s="65">
        <v>0</v>
      </c>
      <c r="AA16" s="98">
        <v>0</v>
      </c>
      <c r="AB16" s="65">
        <v>0</v>
      </c>
      <c r="AC16" s="65">
        <v>0</v>
      </c>
      <c r="AD16" s="65">
        <v>0</v>
      </c>
      <c r="AE16" s="65">
        <f t="shared" ref="AE16:AE19" si="1">AF16</f>
        <v>0</v>
      </c>
      <c r="AF16" s="98">
        <v>0</v>
      </c>
      <c r="AG16" s="65">
        <f t="shared" ref="AG16:AG19" si="2">AH16</f>
        <v>0</v>
      </c>
      <c r="AH16" s="98">
        <v>0</v>
      </c>
    </row>
    <row r="17" spans="1:34" s="74" customFormat="1" x14ac:dyDescent="0.25">
      <c r="B17" s="109" t="s">
        <v>139</v>
      </c>
      <c r="C17" s="65">
        <f>9+29</f>
        <v>38</v>
      </c>
      <c r="D17" s="65">
        <f>9+53</f>
        <v>62</v>
      </c>
      <c r="E17" s="65">
        <f>9+22+63</f>
        <v>94</v>
      </c>
      <c r="F17" s="65">
        <v>140</v>
      </c>
      <c r="G17" s="98">
        <v>140</v>
      </c>
      <c r="H17" s="65">
        <f>55+10+27</f>
        <v>92</v>
      </c>
      <c r="I17" s="65">
        <f>-17+50+3</f>
        <v>36</v>
      </c>
      <c r="J17" s="65">
        <f>-12+64</f>
        <v>52</v>
      </c>
      <c r="K17" s="65">
        <v>96</v>
      </c>
      <c r="L17" s="98">
        <v>96</v>
      </c>
      <c r="M17" s="65">
        <v>98</v>
      </c>
      <c r="N17" s="65">
        <v>9</v>
      </c>
      <c r="O17" s="65">
        <v>32</v>
      </c>
      <c r="P17" s="65">
        <v>6</v>
      </c>
      <c r="Q17" s="98">
        <v>6</v>
      </c>
      <c r="R17" s="65">
        <v>5</v>
      </c>
      <c r="S17" s="65">
        <v>45</v>
      </c>
      <c r="T17" s="65">
        <v>42</v>
      </c>
      <c r="U17" s="65">
        <v>38</v>
      </c>
      <c r="V17" s="98">
        <v>38</v>
      </c>
      <c r="W17" s="65">
        <v>38</v>
      </c>
      <c r="X17" s="65">
        <v>0</v>
      </c>
      <c r="Y17" s="65">
        <v>0</v>
      </c>
      <c r="Z17" s="65">
        <v>0</v>
      </c>
      <c r="AA17" s="98">
        <v>0</v>
      </c>
      <c r="AB17" s="65">
        <v>0</v>
      </c>
      <c r="AC17" s="65">
        <v>0</v>
      </c>
      <c r="AD17" s="65">
        <v>0</v>
      </c>
      <c r="AE17" s="65">
        <f t="shared" si="1"/>
        <v>0</v>
      </c>
      <c r="AF17" s="98">
        <v>0</v>
      </c>
      <c r="AG17" s="65">
        <f t="shared" si="2"/>
        <v>0</v>
      </c>
      <c r="AH17" s="98">
        <v>0</v>
      </c>
    </row>
    <row r="18" spans="1:34" s="74" customFormat="1" x14ac:dyDescent="0.25">
      <c r="B18" s="109" t="s">
        <v>140</v>
      </c>
      <c r="C18" s="65">
        <f>-2+5</f>
        <v>3</v>
      </c>
      <c r="D18" s="65">
        <f>-2+10</f>
        <v>8</v>
      </c>
      <c r="E18" s="65">
        <f>-2+17</f>
        <v>15</v>
      </c>
      <c r="F18" s="65">
        <v>2</v>
      </c>
      <c r="G18" s="98">
        <v>2</v>
      </c>
      <c r="H18" s="68">
        <f>-2-45-6</f>
        <v>-53</v>
      </c>
      <c r="I18" s="68">
        <f>5-66-11</f>
        <v>-72</v>
      </c>
      <c r="J18" s="68">
        <f>-5-84</f>
        <v>-89</v>
      </c>
      <c r="K18" s="65">
        <v>126</v>
      </c>
      <c r="L18" s="98">
        <v>126</v>
      </c>
      <c r="M18" s="65">
        <v>123</v>
      </c>
      <c r="N18" s="65">
        <v>146</v>
      </c>
      <c r="O18" s="65">
        <v>159</v>
      </c>
      <c r="P18" s="68">
        <v>-99</v>
      </c>
      <c r="Q18" s="99">
        <v>-99</v>
      </c>
      <c r="R18" s="68">
        <v>-52</v>
      </c>
      <c r="S18" s="68">
        <v>-53</v>
      </c>
      <c r="T18" s="68">
        <v>-50</v>
      </c>
      <c r="U18" s="68">
        <v>-3</v>
      </c>
      <c r="V18" s="99">
        <v>-3</v>
      </c>
      <c r="W18" s="68">
        <v>-3</v>
      </c>
      <c r="X18" s="68">
        <v>-3</v>
      </c>
      <c r="Y18" s="68">
        <v>0</v>
      </c>
      <c r="Z18" s="68">
        <v>0</v>
      </c>
      <c r="AA18" s="99">
        <v>0</v>
      </c>
      <c r="AB18" s="68">
        <v>0</v>
      </c>
      <c r="AC18" s="68">
        <v>0</v>
      </c>
      <c r="AD18" s="68">
        <v>0</v>
      </c>
      <c r="AE18" s="68">
        <f t="shared" si="1"/>
        <v>0</v>
      </c>
      <c r="AF18" s="99">
        <v>0</v>
      </c>
      <c r="AG18" s="68">
        <f t="shared" si="2"/>
        <v>0</v>
      </c>
      <c r="AH18" s="99">
        <v>0</v>
      </c>
    </row>
    <row r="19" spans="1:34" s="74" customFormat="1" x14ac:dyDescent="0.25">
      <c r="B19" s="109" t="s">
        <v>141</v>
      </c>
      <c r="C19" s="65">
        <f>1+29</f>
        <v>30</v>
      </c>
      <c r="D19" s="65">
        <f>1+58</f>
        <v>59</v>
      </c>
      <c r="E19" s="65">
        <f>0+142</f>
        <v>142</v>
      </c>
      <c r="F19" s="65">
        <v>185</v>
      </c>
      <c r="G19" s="98">
        <v>185</v>
      </c>
      <c r="H19" s="65">
        <f>95+14+32</f>
        <v>141</v>
      </c>
      <c r="I19" s="65">
        <f>-3+18+3</f>
        <v>18</v>
      </c>
      <c r="J19" s="68">
        <f>-70+7</f>
        <v>-63</v>
      </c>
      <c r="K19" s="65">
        <v>35</v>
      </c>
      <c r="L19" s="98">
        <v>35</v>
      </c>
      <c r="M19" s="65">
        <v>34</v>
      </c>
      <c r="N19" s="65">
        <v>52</v>
      </c>
      <c r="O19" s="65">
        <v>43</v>
      </c>
      <c r="P19" s="65">
        <v>55</v>
      </c>
      <c r="Q19" s="98">
        <v>55</v>
      </c>
      <c r="R19" s="65">
        <v>42</v>
      </c>
      <c r="S19" s="65">
        <v>26</v>
      </c>
      <c r="T19" s="65">
        <v>-23</v>
      </c>
      <c r="U19" s="65">
        <v>0</v>
      </c>
      <c r="V19" s="98">
        <v>0</v>
      </c>
      <c r="W19" s="65">
        <v>0</v>
      </c>
      <c r="X19" s="65">
        <v>0</v>
      </c>
      <c r="Y19" s="65">
        <v>0</v>
      </c>
      <c r="Z19" s="65">
        <v>0</v>
      </c>
      <c r="AA19" s="98">
        <v>0</v>
      </c>
      <c r="AB19" s="65">
        <v>0</v>
      </c>
      <c r="AC19" s="65">
        <v>0</v>
      </c>
      <c r="AD19" s="65">
        <v>0</v>
      </c>
      <c r="AE19" s="65">
        <f t="shared" si="1"/>
        <v>0</v>
      </c>
      <c r="AF19" s="98">
        <v>0</v>
      </c>
      <c r="AG19" s="65">
        <f t="shared" si="2"/>
        <v>0</v>
      </c>
      <c r="AH19" s="98">
        <v>0</v>
      </c>
    </row>
    <row r="20" spans="1:34" s="74" customFormat="1" x14ac:dyDescent="0.25">
      <c r="B20" s="105" t="s">
        <v>142</v>
      </c>
      <c r="C20" s="71">
        <f t="shared" ref="C20:Q20" si="3">SUM(C8:C19)</f>
        <v>5573</v>
      </c>
      <c r="D20" s="71">
        <f t="shared" si="3"/>
        <v>5129</v>
      </c>
      <c r="E20" s="71">
        <f t="shared" si="3"/>
        <v>4919</v>
      </c>
      <c r="F20" s="71">
        <f t="shared" si="3"/>
        <v>2222</v>
      </c>
      <c r="G20" s="101">
        <f t="shared" si="3"/>
        <v>2222</v>
      </c>
      <c r="H20" s="71">
        <f t="shared" si="3"/>
        <v>1534</v>
      </c>
      <c r="I20" s="71">
        <f t="shared" si="3"/>
        <v>1276</v>
      </c>
      <c r="J20" s="71">
        <f t="shared" si="3"/>
        <v>1021</v>
      </c>
      <c r="K20" s="71">
        <f t="shared" si="3"/>
        <v>4718</v>
      </c>
      <c r="L20" s="101">
        <f t="shared" si="3"/>
        <v>4718</v>
      </c>
      <c r="M20" s="71">
        <f>SUM(M8:M19)</f>
        <v>5209</v>
      </c>
      <c r="N20" s="71">
        <f t="shared" si="3"/>
        <v>5683</v>
      </c>
      <c r="O20" s="71">
        <f t="shared" si="3"/>
        <v>6110</v>
      </c>
      <c r="P20" s="71">
        <v>5849</v>
      </c>
      <c r="Q20" s="101">
        <f t="shared" si="3"/>
        <v>5849</v>
      </c>
      <c r="R20" s="71">
        <f>SUM(R8:R19)</f>
        <v>12740</v>
      </c>
      <c r="S20" s="71">
        <f>SUM(S8:S19)</f>
        <v>12354</v>
      </c>
      <c r="T20" s="71">
        <f>SUM(T8:T19)</f>
        <v>11461</v>
      </c>
      <c r="U20" s="71">
        <f t="shared" ref="U20:V20" si="4">SUM(U8:U19)</f>
        <v>10797</v>
      </c>
      <c r="V20" s="101">
        <f t="shared" si="4"/>
        <v>10797</v>
      </c>
      <c r="W20" s="71">
        <f>SUM(W8:W19)</f>
        <v>1554</v>
      </c>
      <c r="X20" s="71">
        <f>SUM(X8:X19)</f>
        <v>1117</v>
      </c>
      <c r="Y20" s="71">
        <f>SUM(Y8:Y19)</f>
        <v>2816</v>
      </c>
      <c r="Z20" s="71">
        <f t="shared" ref="Z20:AB20" si="5">SUM(Z8:Z19)</f>
        <v>4647</v>
      </c>
      <c r="AA20" s="101">
        <f t="shared" ref="AA20" si="6">SUM(AA8:AA19)</f>
        <v>4647</v>
      </c>
      <c r="AB20" s="71">
        <f t="shared" si="5"/>
        <v>9038</v>
      </c>
      <c r="AC20" s="71">
        <f t="shared" ref="AC20:AD20" si="7">SUM(AC8:AC19)</f>
        <v>11640</v>
      </c>
      <c r="AD20" s="71">
        <f t="shared" si="7"/>
        <v>12749</v>
      </c>
      <c r="AE20" s="71">
        <f t="shared" ref="AE20:AF20" si="8">SUM(AE8:AE19)</f>
        <v>11820</v>
      </c>
      <c r="AF20" s="101">
        <f t="shared" si="8"/>
        <v>11820</v>
      </c>
      <c r="AG20" s="71">
        <f t="shared" ref="AG20:AH20" si="9">SUM(AG8:AG19)</f>
        <v>12198</v>
      </c>
      <c r="AH20" s="101">
        <f t="shared" si="9"/>
        <v>11820</v>
      </c>
    </row>
    <row r="21" spans="1:34" s="74" customFormat="1" x14ac:dyDescent="0.25">
      <c r="B21" s="117" t="s">
        <v>143</v>
      </c>
      <c r="C21" s="72"/>
      <c r="D21" s="72"/>
      <c r="E21" s="72"/>
      <c r="F21" s="72"/>
      <c r="G21" s="119"/>
      <c r="H21" s="72"/>
      <c r="I21" s="72"/>
      <c r="J21" s="72"/>
      <c r="K21" s="72"/>
      <c r="L21" s="119"/>
      <c r="M21" s="72"/>
      <c r="N21" s="72"/>
      <c r="O21" s="72"/>
      <c r="P21" s="72"/>
      <c r="Q21" s="119"/>
      <c r="R21" s="72"/>
      <c r="S21" s="72"/>
      <c r="T21" s="72"/>
      <c r="U21" s="72"/>
      <c r="V21" s="119"/>
      <c r="W21" s="72"/>
      <c r="X21" s="72"/>
      <c r="Y21" s="72"/>
      <c r="Z21" s="72"/>
      <c r="AA21" s="119"/>
      <c r="AB21" s="72"/>
      <c r="AC21" s="72"/>
      <c r="AD21" s="72"/>
      <c r="AE21" s="72"/>
      <c r="AF21" s="119"/>
      <c r="AG21" s="72"/>
      <c r="AH21" s="119"/>
    </row>
    <row r="22" spans="1:34" s="74" customFormat="1" x14ac:dyDescent="0.25">
      <c r="B22" s="110" t="s">
        <v>144</v>
      </c>
      <c r="C22" s="68">
        <v>707</v>
      </c>
      <c r="D22" s="68">
        <v>783</v>
      </c>
      <c r="E22" s="68">
        <v>784</v>
      </c>
      <c r="F22" s="68">
        <v>188</v>
      </c>
      <c r="G22" s="99">
        <v>188</v>
      </c>
      <c r="H22" s="68">
        <v>207</v>
      </c>
      <c r="I22" s="68">
        <v>230</v>
      </c>
      <c r="J22" s="68">
        <v>237</v>
      </c>
      <c r="K22" s="68">
        <v>489</v>
      </c>
      <c r="L22" s="99">
        <v>489</v>
      </c>
      <c r="M22" s="68">
        <v>479</v>
      </c>
      <c r="N22" s="68">
        <v>403</v>
      </c>
      <c r="O22" s="68">
        <v>377</v>
      </c>
      <c r="P22" s="68">
        <v>942</v>
      </c>
      <c r="Q22" s="99">
        <v>942</v>
      </c>
      <c r="R22" s="68">
        <v>930</v>
      </c>
      <c r="S22" s="68">
        <v>862</v>
      </c>
      <c r="T22" s="68">
        <v>879</v>
      </c>
      <c r="U22" s="68">
        <v>65</v>
      </c>
      <c r="V22" s="99">
        <v>65</v>
      </c>
      <c r="W22" s="68">
        <v>72</v>
      </c>
      <c r="X22" s="68">
        <v>67</v>
      </c>
      <c r="Y22" s="68">
        <v>75</v>
      </c>
      <c r="Z22" s="68">
        <v>142</v>
      </c>
      <c r="AA22" s="99">
        <v>142</v>
      </c>
      <c r="AB22" s="68">
        <v>194</v>
      </c>
      <c r="AC22" s="68">
        <v>222</v>
      </c>
      <c r="AD22" s="68">
        <v>231</v>
      </c>
      <c r="AE22" s="68">
        <f>AF22</f>
        <v>189</v>
      </c>
      <c r="AF22" s="99">
        <v>189</v>
      </c>
      <c r="AG22" s="68">
        <v>139</v>
      </c>
      <c r="AH22" s="99">
        <v>189</v>
      </c>
    </row>
    <row r="23" spans="1:34" s="74" customFormat="1" x14ac:dyDescent="0.25">
      <c r="B23" s="117" t="s">
        <v>145</v>
      </c>
      <c r="C23" s="68"/>
      <c r="D23" s="68"/>
      <c r="E23" s="68"/>
      <c r="F23" s="68"/>
      <c r="G23" s="99"/>
      <c r="H23" s="68"/>
      <c r="I23" s="68"/>
      <c r="J23" s="68"/>
      <c r="K23" s="68"/>
      <c r="L23" s="99"/>
      <c r="M23" s="68"/>
      <c r="N23" s="68"/>
      <c r="O23" s="68"/>
      <c r="P23" s="68"/>
      <c r="Q23" s="99"/>
      <c r="R23" s="68"/>
      <c r="S23" s="68"/>
      <c r="T23" s="68"/>
      <c r="U23" s="68"/>
      <c r="V23" s="99"/>
      <c r="W23" s="68"/>
      <c r="X23" s="68"/>
      <c r="Y23" s="68"/>
      <c r="Z23" s="68"/>
      <c r="AA23" s="99"/>
      <c r="AB23" s="68"/>
      <c r="AC23" s="68"/>
      <c r="AD23" s="68"/>
      <c r="AE23" s="68"/>
      <c r="AF23" s="99"/>
      <c r="AG23" s="68"/>
      <c r="AH23" s="99"/>
    </row>
    <row r="24" spans="1:34" s="74" customFormat="1" x14ac:dyDescent="0.25">
      <c r="B24" s="137" t="s">
        <v>194</v>
      </c>
      <c r="C24" s="68">
        <f>3+53-717+688</f>
        <v>27</v>
      </c>
      <c r="D24" s="68">
        <f>-2+47-58</f>
        <v>-13</v>
      </c>
      <c r="E24" s="68">
        <f>-4+78+28-142</f>
        <v>-40</v>
      </c>
      <c r="F24" s="68">
        <v>4</v>
      </c>
      <c r="G24" s="99">
        <v>4</v>
      </c>
      <c r="H24" s="68">
        <f>50-2+130-14-95</f>
        <v>69</v>
      </c>
      <c r="I24" s="68">
        <f>225+279-18-60</f>
        <v>426</v>
      </c>
      <c r="J24" s="68">
        <f>221+178+253-7</f>
        <v>645</v>
      </c>
      <c r="K24" s="68">
        <v>306</v>
      </c>
      <c r="L24" s="99">
        <v>306</v>
      </c>
      <c r="M24" s="68">
        <v>159</v>
      </c>
      <c r="N24" s="68">
        <v>-12</v>
      </c>
      <c r="O24" s="68">
        <v>25</v>
      </c>
      <c r="P24" s="68">
        <v>10</v>
      </c>
      <c r="Q24" s="99">
        <v>10</v>
      </c>
      <c r="R24" s="68">
        <v>38</v>
      </c>
      <c r="S24" s="68">
        <v>66</v>
      </c>
      <c r="T24" s="68">
        <v>116</v>
      </c>
      <c r="U24" s="68">
        <v>2</v>
      </c>
      <c r="V24" s="99">
        <v>21</v>
      </c>
      <c r="W24" s="68">
        <v>3</v>
      </c>
      <c r="X24" s="68">
        <v>20</v>
      </c>
      <c r="Y24" s="68">
        <v>16</v>
      </c>
      <c r="Z24" s="68">
        <v>0</v>
      </c>
      <c r="AA24" s="99">
        <v>0</v>
      </c>
      <c r="AB24" s="68">
        <v>0</v>
      </c>
      <c r="AC24" s="68">
        <v>0</v>
      </c>
      <c r="AD24" s="68">
        <v>0</v>
      </c>
      <c r="AE24" s="68">
        <f t="shared" ref="AE24:AE33" si="10">AF24</f>
        <v>-235</v>
      </c>
      <c r="AF24" s="99">
        <v>-235</v>
      </c>
      <c r="AG24" s="68">
        <v>-206</v>
      </c>
      <c r="AH24" s="99">
        <v>-235</v>
      </c>
    </row>
    <row r="25" spans="1:34" s="74" customFormat="1" x14ac:dyDescent="0.25">
      <c r="B25" s="137" t="s">
        <v>195</v>
      </c>
      <c r="C25" s="68">
        <v>0</v>
      </c>
      <c r="D25" s="68">
        <v>0</v>
      </c>
      <c r="E25" s="68">
        <v>0</v>
      </c>
      <c r="F25" s="68">
        <v>0</v>
      </c>
      <c r="G25" s="99">
        <v>0</v>
      </c>
      <c r="H25" s="68">
        <v>0</v>
      </c>
      <c r="I25" s="68">
        <v>0</v>
      </c>
      <c r="J25" s="68">
        <v>0</v>
      </c>
      <c r="K25" s="68">
        <v>-267</v>
      </c>
      <c r="L25" s="99">
        <v>-267</v>
      </c>
      <c r="M25" s="68">
        <v>-110</v>
      </c>
      <c r="N25" s="68">
        <v>-56</v>
      </c>
      <c r="O25" s="68">
        <v>-204</v>
      </c>
      <c r="P25" s="68">
        <v>211</v>
      </c>
      <c r="Q25" s="99">
        <v>211</v>
      </c>
      <c r="R25" s="68">
        <v>54</v>
      </c>
      <c r="S25" s="68"/>
      <c r="T25" s="68"/>
      <c r="U25" s="68">
        <v>0</v>
      </c>
      <c r="V25" s="99">
        <v>0</v>
      </c>
      <c r="W25" s="68">
        <v>0</v>
      </c>
      <c r="X25" s="68">
        <v>0</v>
      </c>
      <c r="Y25" s="68">
        <v>0</v>
      </c>
      <c r="Z25" s="68">
        <v>0</v>
      </c>
      <c r="AA25" s="99">
        <v>0</v>
      </c>
      <c r="AB25" s="68">
        <v>0</v>
      </c>
      <c r="AC25" s="68">
        <v>0</v>
      </c>
      <c r="AD25" s="68">
        <v>0</v>
      </c>
      <c r="AE25" s="68">
        <f t="shared" si="10"/>
        <v>0</v>
      </c>
      <c r="AF25" s="99">
        <v>0</v>
      </c>
      <c r="AG25" s="68"/>
      <c r="AH25" s="99">
        <v>0</v>
      </c>
    </row>
    <row r="26" spans="1:34" s="120" customFormat="1" x14ac:dyDescent="0.25">
      <c r="A26" s="74"/>
      <c r="B26" s="138" t="s">
        <v>196</v>
      </c>
      <c r="C26" s="68">
        <v>-540</v>
      </c>
      <c r="D26" s="68">
        <v>-550</v>
      </c>
      <c r="E26" s="68">
        <v>-550</v>
      </c>
      <c r="F26" s="68">
        <v>-312</v>
      </c>
      <c r="G26" s="99">
        <v>-312</v>
      </c>
      <c r="H26" s="68">
        <v>-10</v>
      </c>
      <c r="I26" s="68">
        <v>249</v>
      </c>
      <c r="J26" s="68">
        <v>392</v>
      </c>
      <c r="K26" s="68">
        <v>-625</v>
      </c>
      <c r="L26" s="99">
        <v>-625</v>
      </c>
      <c r="M26" s="68">
        <v>-625</v>
      </c>
      <c r="N26" s="68">
        <v>-617</v>
      </c>
      <c r="O26" s="68">
        <v>-617</v>
      </c>
      <c r="P26" s="68">
        <v>-130</v>
      </c>
      <c r="Q26" s="99">
        <v>-130</v>
      </c>
      <c r="R26" s="68">
        <v>-6902</v>
      </c>
      <c r="S26" s="68">
        <v>-6841</v>
      </c>
      <c r="T26" s="68">
        <v>-6841</v>
      </c>
      <c r="U26" s="68">
        <v>-6719</v>
      </c>
      <c r="V26" s="99">
        <v>-6719</v>
      </c>
      <c r="W26" s="68">
        <v>53</v>
      </c>
      <c r="X26" s="68">
        <v>0</v>
      </c>
      <c r="Y26" s="68">
        <v>0</v>
      </c>
      <c r="Z26" s="68">
        <v>-427</v>
      </c>
      <c r="AA26" s="99">
        <v>-427</v>
      </c>
      <c r="AB26" s="68">
        <v>-1056</v>
      </c>
      <c r="AC26" s="68">
        <v>-1056</v>
      </c>
      <c r="AD26" s="68">
        <v>-1056</v>
      </c>
      <c r="AE26" s="68">
        <f t="shared" si="10"/>
        <v>-629</v>
      </c>
      <c r="AF26" s="99">
        <v>-629</v>
      </c>
      <c r="AG26" s="68">
        <v>761</v>
      </c>
      <c r="AH26" s="99">
        <v>-629</v>
      </c>
    </row>
    <row r="27" spans="1:34" s="120" customFormat="1" x14ac:dyDescent="0.25">
      <c r="A27" s="74"/>
      <c r="B27" s="138" t="s">
        <v>217</v>
      </c>
      <c r="C27" s="68">
        <v>648</v>
      </c>
      <c r="D27" s="68">
        <v>679</v>
      </c>
      <c r="E27" s="68">
        <v>587</v>
      </c>
      <c r="F27" s="68">
        <v>1121</v>
      </c>
      <c r="G27" s="99">
        <v>1121</v>
      </c>
      <c r="H27" s="68">
        <f>1129-130</f>
        <v>999</v>
      </c>
      <c r="I27" s="68">
        <f>1113-309</f>
        <v>804</v>
      </c>
      <c r="J27" s="68">
        <f>1105-71-385</f>
        <v>649</v>
      </c>
      <c r="K27" s="68">
        <v>-10</v>
      </c>
      <c r="L27" s="99">
        <v>-10</v>
      </c>
      <c r="M27" s="68">
        <v>-28</v>
      </c>
      <c r="N27" s="68">
        <v>3</v>
      </c>
      <c r="O27" s="68">
        <v>25</v>
      </c>
      <c r="P27" s="68">
        <v>-24</v>
      </c>
      <c r="Q27" s="99">
        <v>-24</v>
      </c>
      <c r="R27" s="68">
        <v>-22</v>
      </c>
      <c r="S27" s="68">
        <v>-28</v>
      </c>
      <c r="T27" s="68">
        <v>537</v>
      </c>
      <c r="U27" s="68">
        <v>723</v>
      </c>
      <c r="V27" s="99">
        <v>723</v>
      </c>
      <c r="W27" s="68">
        <v>2882</v>
      </c>
      <c r="X27" s="68">
        <v>3166</v>
      </c>
      <c r="Y27" s="68">
        <v>2965</v>
      </c>
      <c r="Z27" s="68">
        <v>2802</v>
      </c>
      <c r="AA27" s="99">
        <v>2802</v>
      </c>
      <c r="AB27" s="68">
        <v>643</v>
      </c>
      <c r="AC27" s="68">
        <v>369</v>
      </c>
      <c r="AD27" s="68">
        <v>187</v>
      </c>
      <c r="AE27" s="68">
        <f t="shared" si="10"/>
        <v>-36</v>
      </c>
      <c r="AF27" s="99">
        <v>-36</v>
      </c>
      <c r="AG27" s="68">
        <v>-854</v>
      </c>
      <c r="AH27" s="99">
        <v>-36</v>
      </c>
    </row>
    <row r="28" spans="1:34" s="120" customFormat="1" x14ac:dyDescent="0.25">
      <c r="A28" s="74"/>
      <c r="B28" s="138" t="s">
        <v>197</v>
      </c>
      <c r="C28" s="68">
        <v>-3</v>
      </c>
      <c r="D28" s="68">
        <v>40</v>
      </c>
      <c r="E28" s="68">
        <v>40</v>
      </c>
      <c r="F28" s="68">
        <v>1031</v>
      </c>
      <c r="G28" s="99">
        <v>1031</v>
      </c>
      <c r="H28" s="68">
        <v>1161</v>
      </c>
      <c r="I28" s="68">
        <v>988</v>
      </c>
      <c r="J28" s="68">
        <v>988</v>
      </c>
      <c r="K28" s="68">
        <v>-71</v>
      </c>
      <c r="L28" s="99">
        <v>-71</v>
      </c>
      <c r="M28" s="68">
        <v>-71</v>
      </c>
      <c r="N28" s="68">
        <v>-71</v>
      </c>
      <c r="O28" s="68">
        <v>-71</v>
      </c>
      <c r="P28" s="68">
        <v>0</v>
      </c>
      <c r="Q28" s="99">
        <v>0</v>
      </c>
      <c r="R28" s="68">
        <v>0</v>
      </c>
      <c r="S28" s="68">
        <v>0</v>
      </c>
      <c r="T28" s="68">
        <v>0</v>
      </c>
      <c r="U28" s="68">
        <v>0</v>
      </c>
      <c r="V28" s="99">
        <v>0</v>
      </c>
      <c r="W28" s="68">
        <v>0</v>
      </c>
      <c r="X28" s="68">
        <v>0</v>
      </c>
      <c r="Y28" s="68">
        <v>0</v>
      </c>
      <c r="Z28" s="68">
        <v>0</v>
      </c>
      <c r="AA28" s="99">
        <v>0</v>
      </c>
      <c r="AB28" s="68">
        <v>0</v>
      </c>
      <c r="AC28" s="68">
        <v>0</v>
      </c>
      <c r="AD28" s="68">
        <v>0</v>
      </c>
      <c r="AE28" s="68">
        <f t="shared" si="10"/>
        <v>827</v>
      </c>
      <c r="AF28" s="99">
        <v>827</v>
      </c>
      <c r="AG28" s="68">
        <v>827</v>
      </c>
      <c r="AH28" s="99">
        <v>827</v>
      </c>
    </row>
    <row r="29" spans="1:34" s="120" customFormat="1" x14ac:dyDescent="0.25">
      <c r="A29" s="74"/>
      <c r="B29" s="138" t="s">
        <v>198</v>
      </c>
      <c r="C29" s="68">
        <v>43</v>
      </c>
      <c r="D29" s="68">
        <v>40</v>
      </c>
      <c r="E29" s="68">
        <v>38</v>
      </c>
      <c r="F29" s="68">
        <v>-2</v>
      </c>
      <c r="G29" s="99">
        <v>-2</v>
      </c>
      <c r="H29" s="68">
        <v>8</v>
      </c>
      <c r="I29" s="68">
        <v>16</v>
      </c>
      <c r="J29" s="68">
        <v>13</v>
      </c>
      <c r="K29" s="68">
        <v>8</v>
      </c>
      <c r="L29" s="99">
        <v>8</v>
      </c>
      <c r="M29" s="68">
        <v>3</v>
      </c>
      <c r="N29" s="68">
        <v>1</v>
      </c>
      <c r="O29" s="68">
        <v>5</v>
      </c>
      <c r="P29" s="68">
        <v>0</v>
      </c>
      <c r="Q29" s="99">
        <v>0</v>
      </c>
      <c r="R29" s="68">
        <v>0</v>
      </c>
      <c r="S29" s="68">
        <v>-6</v>
      </c>
      <c r="T29" s="68">
        <v>-5</v>
      </c>
      <c r="U29" s="68">
        <v>0</v>
      </c>
      <c r="V29" s="99">
        <v>0</v>
      </c>
      <c r="W29" s="68">
        <v>0</v>
      </c>
      <c r="X29" s="68">
        <v>0</v>
      </c>
      <c r="Y29" s="68">
        <v>0</v>
      </c>
      <c r="Z29" s="68">
        <v>0</v>
      </c>
      <c r="AA29" s="99">
        <v>0</v>
      </c>
      <c r="AB29" s="68">
        <v>0</v>
      </c>
      <c r="AC29" s="68">
        <v>0</v>
      </c>
      <c r="AD29" s="68">
        <v>0</v>
      </c>
      <c r="AE29" s="68">
        <f t="shared" si="10"/>
        <v>0</v>
      </c>
      <c r="AF29" s="99">
        <v>0</v>
      </c>
      <c r="AG29" s="68">
        <v>0</v>
      </c>
      <c r="AH29" s="99">
        <v>0</v>
      </c>
    </row>
    <row r="30" spans="1:34" s="120" customFormat="1" x14ac:dyDescent="0.25">
      <c r="A30" s="74"/>
      <c r="B30" s="138" t="s">
        <v>199</v>
      </c>
      <c r="C30" s="68">
        <v>0</v>
      </c>
      <c r="D30" s="68">
        <v>0</v>
      </c>
      <c r="E30" s="68">
        <v>0</v>
      </c>
      <c r="F30" s="68">
        <v>0</v>
      </c>
      <c r="G30" s="99">
        <v>0</v>
      </c>
      <c r="H30" s="68">
        <v>0</v>
      </c>
      <c r="I30" s="68">
        <v>0</v>
      </c>
      <c r="J30" s="68">
        <v>99</v>
      </c>
      <c r="K30" s="68">
        <v>99</v>
      </c>
      <c r="L30" s="99">
        <v>99</v>
      </c>
      <c r="M30" s="68">
        <v>99</v>
      </c>
      <c r="N30" s="68">
        <v>99</v>
      </c>
      <c r="O30" s="68">
        <v>0</v>
      </c>
      <c r="P30" s="68">
        <v>0</v>
      </c>
      <c r="Q30" s="99">
        <v>0</v>
      </c>
      <c r="R30" s="68">
        <v>0</v>
      </c>
      <c r="S30" s="68">
        <v>0</v>
      </c>
      <c r="T30" s="68">
        <v>0</v>
      </c>
      <c r="U30" s="68">
        <v>0</v>
      </c>
      <c r="V30" s="99">
        <v>0</v>
      </c>
      <c r="W30" s="68">
        <v>0</v>
      </c>
      <c r="X30" s="68">
        <v>0</v>
      </c>
      <c r="Y30" s="68">
        <v>0</v>
      </c>
      <c r="Z30" s="68">
        <v>0</v>
      </c>
      <c r="AA30" s="99">
        <v>0</v>
      </c>
      <c r="AB30" s="68">
        <v>0</v>
      </c>
      <c r="AC30" s="68">
        <v>0</v>
      </c>
      <c r="AD30" s="68">
        <v>0</v>
      </c>
      <c r="AE30" s="68">
        <f t="shared" si="10"/>
        <v>0</v>
      </c>
      <c r="AF30" s="99">
        <v>0</v>
      </c>
      <c r="AG30" s="68">
        <v>0</v>
      </c>
      <c r="AH30" s="99">
        <v>0</v>
      </c>
    </row>
    <row r="31" spans="1:34" s="120" customFormat="1" x14ac:dyDescent="0.25">
      <c r="A31" s="74"/>
      <c r="B31" s="138" t="s">
        <v>200</v>
      </c>
      <c r="C31" s="68">
        <v>0</v>
      </c>
      <c r="D31" s="68">
        <v>0</v>
      </c>
      <c r="E31" s="68">
        <v>0</v>
      </c>
      <c r="F31" s="68">
        <v>0</v>
      </c>
      <c r="G31" s="99">
        <v>0</v>
      </c>
      <c r="H31" s="68">
        <v>0</v>
      </c>
      <c r="I31" s="68">
        <v>0</v>
      </c>
      <c r="J31" s="68">
        <v>0</v>
      </c>
      <c r="K31" s="68">
        <v>0</v>
      </c>
      <c r="L31" s="99">
        <v>0</v>
      </c>
      <c r="M31" s="68">
        <v>0</v>
      </c>
      <c r="N31" s="68">
        <v>-147</v>
      </c>
      <c r="O31" s="68">
        <v>-147</v>
      </c>
      <c r="P31" s="68">
        <v>-302</v>
      </c>
      <c r="Q31" s="99">
        <v>-302</v>
      </c>
      <c r="R31" s="68">
        <v>-302</v>
      </c>
      <c r="S31" s="68">
        <v>-155</v>
      </c>
      <c r="T31" s="68">
        <v>-155</v>
      </c>
      <c r="U31" s="68">
        <v>0</v>
      </c>
      <c r="V31" s="99">
        <v>0</v>
      </c>
      <c r="W31" s="68">
        <v>0</v>
      </c>
      <c r="X31" s="68">
        <v>0</v>
      </c>
      <c r="Y31" s="68">
        <v>0</v>
      </c>
      <c r="Z31" s="68">
        <v>0</v>
      </c>
      <c r="AA31" s="99">
        <v>0</v>
      </c>
      <c r="AB31" s="68">
        <v>0</v>
      </c>
      <c r="AC31" s="68">
        <v>0</v>
      </c>
      <c r="AD31" s="68">
        <v>0</v>
      </c>
      <c r="AE31" s="68">
        <f t="shared" si="10"/>
        <v>0</v>
      </c>
      <c r="AF31" s="99">
        <v>0</v>
      </c>
      <c r="AG31" s="68">
        <v>0</v>
      </c>
      <c r="AH31" s="99">
        <v>0</v>
      </c>
    </row>
    <row r="32" spans="1:34" s="120" customFormat="1" x14ac:dyDescent="0.25">
      <c r="A32" s="74"/>
      <c r="B32" s="138" t="s">
        <v>193</v>
      </c>
      <c r="C32" s="68">
        <v>0</v>
      </c>
      <c r="D32" s="68">
        <v>0</v>
      </c>
      <c r="E32" s="68">
        <v>0</v>
      </c>
      <c r="F32" s="68">
        <v>0</v>
      </c>
      <c r="G32" s="99">
        <v>0</v>
      </c>
      <c r="H32" s="68">
        <v>0</v>
      </c>
      <c r="I32" s="68">
        <v>0</v>
      </c>
      <c r="J32" s="68">
        <v>0</v>
      </c>
      <c r="K32" s="68">
        <v>0</v>
      </c>
      <c r="L32" s="99">
        <v>0</v>
      </c>
      <c r="M32" s="68">
        <v>0</v>
      </c>
      <c r="N32" s="68">
        <v>0</v>
      </c>
      <c r="O32" s="68">
        <v>0</v>
      </c>
      <c r="P32" s="68">
        <v>0</v>
      </c>
      <c r="Q32" s="99">
        <v>0</v>
      </c>
      <c r="R32" s="68">
        <v>0</v>
      </c>
      <c r="S32" s="68">
        <v>0</v>
      </c>
      <c r="T32" s="68">
        <v>0</v>
      </c>
      <c r="U32" s="68">
        <v>0</v>
      </c>
      <c r="V32" s="99">
        <v>0</v>
      </c>
      <c r="W32" s="68">
        <v>0</v>
      </c>
      <c r="X32" s="68">
        <v>0</v>
      </c>
      <c r="Y32" s="68">
        <v>0</v>
      </c>
      <c r="Z32" s="68">
        <v>0</v>
      </c>
      <c r="AA32" s="99">
        <v>0</v>
      </c>
      <c r="AB32" s="68">
        <v>0</v>
      </c>
      <c r="AC32" s="68">
        <v>0</v>
      </c>
      <c r="AD32" s="68">
        <v>-296</v>
      </c>
      <c r="AE32" s="68">
        <f t="shared" si="10"/>
        <v>-243</v>
      </c>
      <c r="AF32" s="99">
        <v>-243</v>
      </c>
      <c r="AG32" s="68">
        <v>-1218</v>
      </c>
      <c r="AH32" s="99">
        <v>-243</v>
      </c>
    </row>
    <row r="33" spans="1:34" s="120" customFormat="1" x14ac:dyDescent="0.25">
      <c r="A33" s="74"/>
      <c r="B33" s="138" t="s">
        <v>201</v>
      </c>
      <c r="C33" s="68">
        <v>4</v>
      </c>
      <c r="D33" s="68">
        <v>3</v>
      </c>
      <c r="E33" s="68">
        <v>-2</v>
      </c>
      <c r="F33" s="68">
        <v>1</v>
      </c>
      <c r="G33" s="99">
        <v>1</v>
      </c>
      <c r="H33" s="68">
        <v>1</v>
      </c>
      <c r="I33" s="68">
        <v>48</v>
      </c>
      <c r="J33" s="68">
        <v>48</v>
      </c>
      <c r="K33" s="68">
        <v>113</v>
      </c>
      <c r="L33" s="99">
        <v>113</v>
      </c>
      <c r="M33" s="68">
        <v>107</v>
      </c>
      <c r="N33" s="68">
        <v>142</v>
      </c>
      <c r="O33" s="68">
        <v>402</v>
      </c>
      <c r="P33" s="68">
        <v>322</v>
      </c>
      <c r="Q33" s="99">
        <v>322</v>
      </c>
      <c r="R33" s="68">
        <v>433</v>
      </c>
      <c r="S33" s="68">
        <v>443</v>
      </c>
      <c r="T33" s="68">
        <v>230</v>
      </c>
      <c r="U33" s="68">
        <v>252</v>
      </c>
      <c r="V33" s="99">
        <v>252</v>
      </c>
      <c r="W33" s="68">
        <v>11</v>
      </c>
      <c r="X33" s="68">
        <v>-12</v>
      </c>
      <c r="Y33" s="68">
        <v>-23</v>
      </c>
      <c r="Z33" s="68">
        <v>-247</v>
      </c>
      <c r="AA33" s="99">
        <v>-247</v>
      </c>
      <c r="AB33" s="68">
        <v>-14</v>
      </c>
      <c r="AC33" s="68">
        <v>7</v>
      </c>
      <c r="AD33" s="68">
        <v>-57</v>
      </c>
      <c r="AE33" s="68">
        <f t="shared" si="10"/>
        <v>-234</v>
      </c>
      <c r="AF33" s="99">
        <v>-234</v>
      </c>
      <c r="AG33" s="68">
        <v>-478</v>
      </c>
      <c r="AH33" s="99">
        <v>-234</v>
      </c>
    </row>
    <row r="34" spans="1:34" s="120" customFormat="1" x14ac:dyDescent="0.25">
      <c r="B34" s="113"/>
      <c r="C34" s="68"/>
      <c r="D34" s="68"/>
      <c r="E34" s="68"/>
      <c r="F34" s="68"/>
      <c r="G34" s="99"/>
      <c r="H34" s="68"/>
      <c r="I34" s="68"/>
      <c r="J34" s="68"/>
      <c r="K34" s="68"/>
      <c r="L34" s="99"/>
      <c r="M34" s="68"/>
      <c r="N34" s="68"/>
      <c r="O34" s="68"/>
      <c r="P34" s="68"/>
      <c r="Q34" s="99"/>
      <c r="R34" s="68"/>
      <c r="S34" s="68"/>
      <c r="T34" s="68"/>
      <c r="U34" s="68"/>
      <c r="V34" s="99"/>
      <c r="W34" s="68"/>
      <c r="X34" s="68"/>
      <c r="Y34" s="68"/>
      <c r="Z34" s="68"/>
      <c r="AA34" s="99"/>
      <c r="AB34" s="68"/>
      <c r="AC34" s="68"/>
      <c r="AD34" s="68"/>
      <c r="AE34" s="68"/>
      <c r="AF34" s="99"/>
      <c r="AG34" s="68"/>
      <c r="AH34" s="99"/>
    </row>
    <row r="35" spans="1:34" s="74" customFormat="1" ht="14.95" thickBot="1" x14ac:dyDescent="0.3">
      <c r="B35" s="106" t="s">
        <v>146</v>
      </c>
      <c r="C35" s="73">
        <f t="shared" ref="C35:Q35" si="11">SUM(C20:C33)</f>
        <v>6459</v>
      </c>
      <c r="D35" s="73">
        <f t="shared" si="11"/>
        <v>6111</v>
      </c>
      <c r="E35" s="73">
        <f t="shared" si="11"/>
        <v>5776</v>
      </c>
      <c r="F35" s="73">
        <f t="shared" si="11"/>
        <v>4253</v>
      </c>
      <c r="G35" s="104">
        <f t="shared" si="11"/>
        <v>4253</v>
      </c>
      <c r="H35" s="73">
        <f t="shared" si="11"/>
        <v>3969</v>
      </c>
      <c r="I35" s="73">
        <f t="shared" si="11"/>
        <v>4037</v>
      </c>
      <c r="J35" s="73">
        <f t="shared" si="11"/>
        <v>4092</v>
      </c>
      <c r="K35" s="73">
        <f t="shared" si="11"/>
        <v>4760</v>
      </c>
      <c r="L35" s="104">
        <f t="shared" si="11"/>
        <v>4760</v>
      </c>
      <c r="M35" s="73">
        <f>SUM(M20:M33)</f>
        <v>5222</v>
      </c>
      <c r="N35" s="73">
        <f t="shared" si="11"/>
        <v>5428</v>
      </c>
      <c r="O35" s="73">
        <f t="shared" si="11"/>
        <v>5905</v>
      </c>
      <c r="P35" s="73">
        <v>6878</v>
      </c>
      <c r="Q35" s="104">
        <f t="shared" si="11"/>
        <v>6878</v>
      </c>
      <c r="R35" s="73">
        <f t="shared" ref="R35:S35" si="12">SUM(R20:R33)</f>
        <v>6969</v>
      </c>
      <c r="S35" s="73">
        <f t="shared" si="12"/>
        <v>6695</v>
      </c>
      <c r="T35" s="73">
        <f t="shared" ref="T35" si="13">SUM(T20:T33)</f>
        <v>6222</v>
      </c>
      <c r="U35" s="73">
        <f>SUM(U20:U33)</f>
        <v>5120</v>
      </c>
      <c r="V35" s="104">
        <f t="shared" ref="V35:W35" si="14">SUM(V20:V33)</f>
        <v>5139</v>
      </c>
      <c r="W35" s="73">
        <f t="shared" si="14"/>
        <v>4575</v>
      </c>
      <c r="X35" s="73">
        <f t="shared" ref="X35:Z35" si="15">SUM(X20:X33)</f>
        <v>4358</v>
      </c>
      <c r="Y35" s="73">
        <f t="shared" si="15"/>
        <v>5849</v>
      </c>
      <c r="Z35" s="73">
        <f t="shared" si="15"/>
        <v>6917</v>
      </c>
      <c r="AA35" s="104">
        <f t="shared" ref="AA35:AB35" si="16">SUM(AA20:AA33)</f>
        <v>6917</v>
      </c>
      <c r="AB35" s="73">
        <f t="shared" si="16"/>
        <v>8805</v>
      </c>
      <c r="AC35" s="73">
        <f t="shared" ref="AC35:AD35" si="17">SUM(AC20:AC33)</f>
        <v>11182</v>
      </c>
      <c r="AD35" s="73">
        <f t="shared" si="17"/>
        <v>11758</v>
      </c>
      <c r="AE35" s="73">
        <f t="shared" ref="AE35:AF35" si="18">SUM(AE20:AE33)</f>
        <v>11459</v>
      </c>
      <c r="AF35" s="104">
        <f t="shared" si="18"/>
        <v>11459</v>
      </c>
      <c r="AG35" s="73">
        <f t="shared" ref="AG35:AH35" si="19">SUM(AG20:AG33)</f>
        <v>11169</v>
      </c>
      <c r="AH35" s="104">
        <f t="shared" si="19"/>
        <v>11459</v>
      </c>
    </row>
    <row r="36" spans="1:34" ht="14.95" thickTop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3"/>
      <c r="U36" s="7"/>
      <c r="V36" s="53"/>
      <c r="Z36" s="7"/>
      <c r="AA36" s="53"/>
      <c r="AB36" s="7"/>
      <c r="AC36" s="7"/>
      <c r="AD36" s="7"/>
    </row>
    <row r="37" spans="1:34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3"/>
      <c r="U37" s="7"/>
      <c r="V37" s="53"/>
      <c r="Z37" s="7"/>
      <c r="AA37" s="53"/>
      <c r="AB37" s="7"/>
      <c r="AC37" s="7"/>
      <c r="AD37" s="7"/>
    </row>
    <row r="38" spans="1:34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3"/>
      <c r="U38" s="7"/>
      <c r="V38" s="53"/>
      <c r="Z38" s="7"/>
      <c r="AA38" s="53"/>
      <c r="AB38" s="7"/>
      <c r="AC38" s="7"/>
      <c r="AD38" s="7"/>
    </row>
    <row r="39" spans="1:34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3"/>
      <c r="U39" s="7"/>
      <c r="V39" s="53"/>
      <c r="Z39" s="7"/>
      <c r="AA39" s="53"/>
      <c r="AB39" s="7"/>
      <c r="AC39" s="7"/>
      <c r="AD39" s="7"/>
    </row>
    <row r="40" spans="1:34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3"/>
      <c r="U40" s="7"/>
      <c r="V40" s="53"/>
      <c r="Z40" s="7"/>
      <c r="AA40" s="53"/>
      <c r="AB40" s="7"/>
      <c r="AC40" s="7"/>
      <c r="AD40" s="7"/>
    </row>
    <row r="41" spans="1:34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3"/>
      <c r="U41" s="7"/>
      <c r="V41" s="53"/>
      <c r="Z41" s="7"/>
      <c r="AA41" s="53"/>
      <c r="AB41" s="7"/>
      <c r="AC41" s="7"/>
      <c r="AD41" s="7"/>
    </row>
    <row r="42" spans="1:34" x14ac:dyDescent="0.25">
      <c r="C42" s="32"/>
      <c r="D42" s="32"/>
      <c r="E42" s="32"/>
      <c r="F42" s="32"/>
      <c r="G42" s="32"/>
      <c r="H42" s="32"/>
      <c r="I42" s="32"/>
      <c r="J42" s="32"/>
    </row>
    <row r="43" spans="1:34" x14ac:dyDescent="0.25">
      <c r="D43" s="32"/>
      <c r="E43" s="32"/>
      <c r="F43" s="32"/>
      <c r="I43" s="32"/>
      <c r="J43" s="32"/>
    </row>
    <row r="44" spans="1:34" x14ac:dyDescent="0.25">
      <c r="D44" s="32"/>
      <c r="E44" s="32"/>
      <c r="F44" s="32"/>
      <c r="I44" s="32"/>
      <c r="J44" s="32"/>
    </row>
    <row r="45" spans="1:34" x14ac:dyDescent="0.25">
      <c r="D45" s="32"/>
      <c r="E45" s="32"/>
      <c r="F45" s="32"/>
      <c r="I45" s="32"/>
      <c r="J45" s="32"/>
    </row>
    <row r="49" spans="7:8" x14ac:dyDescent="0.25">
      <c r="G49" s="32"/>
      <c r="H49" s="32"/>
    </row>
  </sheetData>
  <mergeCells count="7">
    <mergeCell ref="AG4:AH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E78B2-98E6-4067-A014-1282DBE17927}">
  <ds:schemaRefs>
    <ds:schemaRef ds:uri="http://schemas.microsoft.com/office/2006/metadata/properties"/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13EF8F-0A8A-44FB-965C-BD963B30A7BA}"/>
</file>

<file path=customXml/itemProps3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2022-05-16T12:12:01Z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3344600</vt:r8>
  </property>
</Properties>
</file>