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DCF\Tesouraria e RI\RI\Divulgações\2018\4T18\Planilha de resultados\"/>
    </mc:Choice>
  </mc:AlternateContent>
  <bookViews>
    <workbookView xWindow="0" yWindow="0" windowWidth="20490" windowHeight="7755" tabRatio="782"/>
  </bookViews>
  <sheets>
    <sheet name="Cover" sheetId="1" r:id="rId1"/>
    <sheet name="Balance Sheet" sheetId="2" r:id="rId2"/>
    <sheet name="Income Statement" sheetId="5" r:id="rId3"/>
    <sheet name="Cash Flow Statement" sheetId="8" r:id="rId4"/>
    <sheet name="Adjusted EBITDA" sheetId="10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0" l="1"/>
  <c r="J27" i="10"/>
  <c r="I27" i="10"/>
  <c r="H27" i="10"/>
  <c r="J24" i="10"/>
  <c r="I24" i="10"/>
  <c r="H24" i="10"/>
  <c r="E24" i="10"/>
  <c r="D24" i="10"/>
  <c r="C24" i="10"/>
  <c r="Q20" i="10"/>
  <c r="Q34" i="10" s="1"/>
  <c r="P20" i="10"/>
  <c r="P34" i="10" s="1"/>
  <c r="O20" i="10"/>
  <c r="O34" i="10" s="1"/>
  <c r="N20" i="10"/>
  <c r="N34" i="10" s="1"/>
  <c r="M20" i="10"/>
  <c r="M34" i="10" s="1"/>
  <c r="L20" i="10"/>
  <c r="L34" i="10" s="1"/>
  <c r="K20" i="10"/>
  <c r="K34" i="10" s="1"/>
  <c r="G20" i="10"/>
  <c r="G34" i="10" s="1"/>
  <c r="F20" i="10"/>
  <c r="J19" i="10"/>
  <c r="I19" i="10"/>
  <c r="H19" i="10"/>
  <c r="E19" i="10"/>
  <c r="D19" i="10"/>
  <c r="C19" i="10"/>
  <c r="J18" i="10"/>
  <c r="I18" i="10"/>
  <c r="H18" i="10"/>
  <c r="E18" i="10"/>
  <c r="D18" i="10"/>
  <c r="C18" i="10"/>
  <c r="J17" i="10"/>
  <c r="J20" i="10" s="1"/>
  <c r="J34" i="10" s="1"/>
  <c r="I17" i="10"/>
  <c r="H17" i="10"/>
  <c r="E17" i="10"/>
  <c r="D17" i="10"/>
  <c r="C17" i="10"/>
  <c r="I16" i="10"/>
  <c r="H16" i="10"/>
  <c r="E16" i="10"/>
  <c r="D16" i="10"/>
  <c r="C16" i="10"/>
  <c r="J14" i="10"/>
  <c r="I14" i="10"/>
  <c r="H14" i="10"/>
  <c r="E14" i="10"/>
  <c r="D14" i="10"/>
  <c r="C14" i="10"/>
  <c r="J13" i="10"/>
  <c r="I13" i="10"/>
  <c r="H13" i="10"/>
  <c r="E13" i="10"/>
  <c r="D13" i="10"/>
  <c r="C13" i="10"/>
  <c r="J12" i="10"/>
  <c r="I12" i="10"/>
  <c r="H12" i="10"/>
  <c r="E12" i="10"/>
  <c r="D12" i="10"/>
  <c r="C12" i="10"/>
  <c r="C20" i="10" s="1"/>
  <c r="C34" i="10" s="1"/>
  <c r="I11" i="10"/>
  <c r="I20" i="10" s="1"/>
  <c r="I34" i="10" s="1"/>
  <c r="H11" i="10"/>
  <c r="H20" i="10" s="1"/>
  <c r="H34" i="10" s="1"/>
  <c r="E11" i="10"/>
  <c r="E20" i="10" s="1"/>
  <c r="E34" i="10" s="1"/>
  <c r="D11" i="10"/>
  <c r="D20" i="10" s="1"/>
  <c r="D34" i="10" s="1"/>
  <c r="C11" i="10"/>
  <c r="N9" i="8" l="1"/>
  <c r="N11" i="8"/>
  <c r="N15" i="8"/>
  <c r="N16" i="8"/>
  <c r="N19" i="8"/>
  <c r="N21" i="8"/>
  <c r="N23" i="8"/>
  <c r="N25" i="8"/>
  <c r="N26" i="8"/>
  <c r="N28" i="8"/>
  <c r="N29" i="8"/>
  <c r="N30" i="8"/>
  <c r="N31" i="8"/>
  <c r="N32" i="8"/>
  <c r="O32" i="8" s="1"/>
  <c r="N35" i="8"/>
  <c r="M36" i="8"/>
  <c r="M51" i="8" s="1"/>
  <c r="M55" i="8" s="1"/>
  <c r="N38" i="8"/>
  <c r="N39" i="8"/>
  <c r="N40" i="8"/>
  <c r="N41" i="8"/>
  <c r="N42" i="8"/>
  <c r="N43" i="8"/>
  <c r="N44" i="8"/>
  <c r="N46" i="8"/>
  <c r="N47" i="8"/>
  <c r="N48" i="8"/>
  <c r="N49" i="8"/>
  <c r="N50" i="8"/>
  <c r="N53" i="8"/>
  <c r="N54" i="8"/>
  <c r="N58" i="8"/>
  <c r="N61" i="8"/>
  <c r="N62" i="8"/>
  <c r="N64" i="8"/>
  <c r="N65" i="8"/>
  <c r="N66" i="8"/>
  <c r="M67" i="8"/>
  <c r="N70" i="8"/>
  <c r="N71" i="8"/>
  <c r="N72" i="8"/>
  <c r="N73" i="8"/>
  <c r="N74" i="8"/>
  <c r="M75" i="8"/>
  <c r="N81" i="8"/>
  <c r="N82" i="8"/>
  <c r="M77" i="8" l="1"/>
  <c r="M84" i="8" s="1"/>
  <c r="N67" i="8"/>
  <c r="N36" i="8"/>
  <c r="N51" i="8" s="1"/>
  <c r="N55" i="8" s="1"/>
  <c r="N75" i="8"/>
  <c r="N77" i="8" l="1"/>
  <c r="N84" i="8" s="1"/>
  <c r="Q81" i="8"/>
  <c r="Q74" i="8"/>
  <c r="Q75" i="8" s="1"/>
  <c r="P63" i="8"/>
  <c r="Q67" i="8"/>
  <c r="P34" i="8"/>
  <c r="P33" i="8"/>
  <c r="P17" i="8"/>
  <c r="Q9" i="8"/>
  <c r="Q36" i="8" s="1"/>
  <c r="Q51" i="8" s="1"/>
  <c r="Q55" i="8" s="1"/>
  <c r="P80" i="8"/>
  <c r="P79" i="8"/>
  <c r="P60" i="8"/>
  <c r="P59" i="8"/>
  <c r="P27" i="8"/>
  <c r="P20" i="8"/>
  <c r="P18" i="8"/>
  <c r="J44" i="8"/>
  <c r="J24" i="8"/>
  <c r="J20" i="8"/>
  <c r="O25" i="8"/>
  <c r="P25" i="8" s="1"/>
  <c r="O26" i="8"/>
  <c r="P26" i="8" s="1"/>
  <c r="O30" i="8"/>
  <c r="P30" i="8" s="1"/>
  <c r="O41" i="8"/>
  <c r="P41" i="8" s="1"/>
  <c r="O49" i="8"/>
  <c r="P49" i="8" s="1"/>
  <c r="O53" i="8"/>
  <c r="P53" i="8" s="1"/>
  <c r="O61" i="8"/>
  <c r="P61" i="8" s="1"/>
  <c r="O71" i="8"/>
  <c r="P71" i="8" s="1"/>
  <c r="O74" i="8"/>
  <c r="P74" i="8" s="1"/>
  <c r="O16" i="8"/>
  <c r="P16" i="8" s="1"/>
  <c r="O40" i="8"/>
  <c r="P40" i="8" s="1"/>
  <c r="O44" i="8"/>
  <c r="P44" i="8" s="1"/>
  <c r="O58" i="8"/>
  <c r="P58" i="8" s="1"/>
  <c r="O65" i="8"/>
  <c r="P65" i="8" s="1"/>
  <c r="O82" i="8"/>
  <c r="P82" i="8" s="1"/>
  <c r="O81" i="8"/>
  <c r="O73" i="8"/>
  <c r="P73" i="8" s="1"/>
  <c r="O72" i="8"/>
  <c r="P72" i="8" s="1"/>
  <c r="O66" i="8"/>
  <c r="P66" i="8" s="1"/>
  <c r="O62" i="8"/>
  <c r="P62" i="8" s="1"/>
  <c r="O64" i="8"/>
  <c r="P64" i="8" s="1"/>
  <c r="O54" i="8"/>
  <c r="P54" i="8" s="1"/>
  <c r="O50" i="8"/>
  <c r="P50" i="8" s="1"/>
  <c r="O48" i="8"/>
  <c r="P48" i="8" s="1"/>
  <c r="O47" i="8"/>
  <c r="P47" i="8" s="1"/>
  <c r="O46" i="8"/>
  <c r="P46" i="8" s="1"/>
  <c r="O43" i="8"/>
  <c r="P43" i="8" s="1"/>
  <c r="O42" i="8"/>
  <c r="P42" i="8" s="1"/>
  <c r="O39" i="8"/>
  <c r="P39" i="8" s="1"/>
  <c r="O38" i="8"/>
  <c r="P38" i="8" s="1"/>
  <c r="O35" i="8"/>
  <c r="P35" i="8" s="1"/>
  <c r="P32" i="8"/>
  <c r="O31" i="8"/>
  <c r="P31" i="8" s="1"/>
  <c r="O29" i="8"/>
  <c r="P29" i="8" s="1"/>
  <c r="O28" i="8"/>
  <c r="P28" i="8" s="1"/>
  <c r="O24" i="8"/>
  <c r="P24" i="8" s="1"/>
  <c r="O23" i="8"/>
  <c r="P23" i="8" s="1"/>
  <c r="O22" i="8"/>
  <c r="P22" i="8" s="1"/>
  <c r="O21" i="8"/>
  <c r="P21" i="8" s="1"/>
  <c r="O19" i="8"/>
  <c r="P19" i="8" s="1"/>
  <c r="O15" i="8"/>
  <c r="P15" i="8" s="1"/>
  <c r="O11" i="8"/>
  <c r="P11" i="8" s="1"/>
  <c r="O9" i="8"/>
  <c r="I82" i="8"/>
  <c r="I58" i="8"/>
  <c r="I53" i="8"/>
  <c r="I49" i="8"/>
  <c r="J49" i="8" s="1"/>
  <c r="I44" i="8"/>
  <c r="I40" i="8"/>
  <c r="I30" i="8"/>
  <c r="J30" i="8" s="1"/>
  <c r="I29" i="8"/>
  <c r="I28" i="8"/>
  <c r="J28" i="8" s="1"/>
  <c r="I23" i="8"/>
  <c r="J23" i="8" s="1"/>
  <c r="I22" i="8"/>
  <c r="J22" i="8" s="1"/>
  <c r="I21" i="8"/>
  <c r="J21" i="8" s="1"/>
  <c r="I16" i="8"/>
  <c r="I19" i="8"/>
  <c r="J19" i="8" s="1"/>
  <c r="I15" i="8"/>
  <c r="J15" i="8" s="1"/>
  <c r="I11" i="8"/>
  <c r="J11" i="8" s="1"/>
  <c r="I9" i="8"/>
  <c r="J9" i="8" s="1"/>
  <c r="Q77" i="8" l="1"/>
  <c r="Q84" i="8" s="1"/>
  <c r="P81" i="8"/>
  <c r="P9" i="8"/>
  <c r="P67" i="8"/>
  <c r="O67" i="8"/>
  <c r="O70" i="8"/>
  <c r="O36" i="8"/>
  <c r="O51" i="8" s="1"/>
  <c r="O55" i="8" s="1"/>
  <c r="G21" i="8"/>
  <c r="F14" i="8"/>
  <c r="K80" i="8"/>
  <c r="K79" i="8"/>
  <c r="K60" i="8"/>
  <c r="K59" i="8"/>
  <c r="K49" i="8"/>
  <c r="K42" i="8"/>
  <c r="K27" i="8"/>
  <c r="K14" i="8"/>
  <c r="L75" i="8"/>
  <c r="L67" i="8"/>
  <c r="L14" i="8"/>
  <c r="J82" i="8"/>
  <c r="K82" i="8" s="1"/>
  <c r="J58" i="8"/>
  <c r="K58" i="8" s="1"/>
  <c r="J53" i="8"/>
  <c r="K53" i="8" s="1"/>
  <c r="K24" i="8"/>
  <c r="K20" i="8"/>
  <c r="D19" i="8"/>
  <c r="E19" i="8" s="1"/>
  <c r="D16" i="8"/>
  <c r="E16" i="8" s="1"/>
  <c r="D15" i="8"/>
  <c r="E15" i="8" s="1"/>
  <c r="D11" i="8"/>
  <c r="E11" i="8" s="1"/>
  <c r="D9" i="8"/>
  <c r="E9" i="8" s="1"/>
  <c r="I74" i="8"/>
  <c r="J74" i="8" s="1"/>
  <c r="I72" i="8"/>
  <c r="I71" i="8"/>
  <c r="J71" i="8" s="1"/>
  <c r="I70" i="8"/>
  <c r="J70" i="8" s="1"/>
  <c r="K70" i="8" s="1"/>
  <c r="I66" i="8"/>
  <c r="I65" i="8"/>
  <c r="I64" i="8"/>
  <c r="I62" i="8"/>
  <c r="I61" i="8"/>
  <c r="J61" i="8" s="1"/>
  <c r="I54" i="8"/>
  <c r="I48" i="8"/>
  <c r="J48" i="8" s="1"/>
  <c r="K48" i="8" s="1"/>
  <c r="I47" i="8"/>
  <c r="J47" i="8" s="1"/>
  <c r="K47" i="8" s="1"/>
  <c r="I46" i="8"/>
  <c r="K44" i="8"/>
  <c r="I43" i="8"/>
  <c r="J43" i="8" s="1"/>
  <c r="I42" i="8"/>
  <c r="J42" i="8" s="1"/>
  <c r="I41" i="8"/>
  <c r="J41" i="8" s="1"/>
  <c r="J40" i="8"/>
  <c r="K40" i="8" s="1"/>
  <c r="K41" i="8" l="1"/>
  <c r="J62" i="8"/>
  <c r="K62" i="8" s="1"/>
  <c r="K74" i="8"/>
  <c r="J64" i="8"/>
  <c r="J54" i="8"/>
  <c r="K54" i="8" s="1"/>
  <c r="K71" i="8"/>
  <c r="J65" i="8"/>
  <c r="K65" i="8" s="1"/>
  <c r="J72" i="8"/>
  <c r="K72" i="8" s="1"/>
  <c r="K43" i="8"/>
  <c r="K61" i="8"/>
  <c r="I67" i="8"/>
  <c r="J46" i="8"/>
  <c r="K46" i="8" s="1"/>
  <c r="I75" i="8"/>
  <c r="J66" i="8"/>
  <c r="K66" i="8" s="1"/>
  <c r="O75" i="8"/>
  <c r="O77" i="8" s="1"/>
  <c r="O84" i="8" s="1"/>
  <c r="P70" i="8"/>
  <c r="P75" i="8" s="1"/>
  <c r="I39" i="8"/>
  <c r="I38" i="8"/>
  <c r="I35" i="8"/>
  <c r="K30" i="8"/>
  <c r="J29" i="8"/>
  <c r="K29" i="8" s="1"/>
  <c r="K28" i="8"/>
  <c r="I26" i="8"/>
  <c r="I25" i="8"/>
  <c r="K23" i="8"/>
  <c r="K75" i="8" l="1"/>
  <c r="J67" i="8"/>
  <c r="J75" i="8"/>
  <c r="J38" i="8"/>
  <c r="K38" i="8"/>
  <c r="J39" i="8"/>
  <c r="K39" i="8" s="1"/>
  <c r="K64" i="8"/>
  <c r="K67" i="8" s="1"/>
  <c r="J25" i="8"/>
  <c r="K25" i="8" s="1"/>
  <c r="J26" i="8"/>
  <c r="K26" i="8" s="1"/>
  <c r="J35" i="8"/>
  <c r="K35" i="8" s="1"/>
  <c r="K22" i="8"/>
  <c r="K21" i="8"/>
  <c r="I18" i="8"/>
  <c r="C50" i="8"/>
  <c r="D50" i="8" s="1"/>
  <c r="H75" i="8"/>
  <c r="H67" i="8"/>
  <c r="H50" i="8"/>
  <c r="I50" i="8" s="1"/>
  <c r="J50" i="8" s="1"/>
  <c r="K50" i="8" s="1"/>
  <c r="H36" i="8"/>
  <c r="H51" i="8" s="1"/>
  <c r="H55" i="8" s="1"/>
  <c r="D82" i="8"/>
  <c r="D79" i="8"/>
  <c r="G75" i="8"/>
  <c r="C75" i="8"/>
  <c r="D74" i="8"/>
  <c r="D72" i="8"/>
  <c r="D71" i="8"/>
  <c r="E71" i="8" s="1"/>
  <c r="F71" i="8" s="1"/>
  <c r="D70" i="8"/>
  <c r="E70" i="8" s="1"/>
  <c r="F70" i="8" s="1"/>
  <c r="C67" i="8"/>
  <c r="D66" i="8"/>
  <c r="E66" i="8" s="1"/>
  <c r="F66" i="8" s="1"/>
  <c r="D65" i="8"/>
  <c r="G64" i="8"/>
  <c r="D64" i="8"/>
  <c r="E64" i="8" s="1"/>
  <c r="D62" i="8"/>
  <c r="E62" i="8" s="1"/>
  <c r="G61" i="8"/>
  <c r="D61" i="8"/>
  <c r="E61" i="8" s="1"/>
  <c r="D58" i="8"/>
  <c r="D54" i="8"/>
  <c r="D53" i="8"/>
  <c r="D49" i="8"/>
  <c r="D48" i="8"/>
  <c r="G47" i="8"/>
  <c r="D47" i="8"/>
  <c r="E47" i="8" s="1"/>
  <c r="D46" i="8"/>
  <c r="E46" i="8" s="1"/>
  <c r="F46" i="8" s="1"/>
  <c r="D44" i="8"/>
  <c r="D43" i="8"/>
  <c r="D42" i="8"/>
  <c r="E42" i="8" s="1"/>
  <c r="F42" i="8" s="1"/>
  <c r="D41" i="8"/>
  <c r="E41" i="8" s="1"/>
  <c r="F41" i="8" s="1"/>
  <c r="D40" i="8"/>
  <c r="D39" i="8"/>
  <c r="D38" i="8"/>
  <c r="E38" i="8" s="1"/>
  <c r="F38" i="8" s="1"/>
  <c r="G36" i="8"/>
  <c r="C36" i="8"/>
  <c r="D35" i="8"/>
  <c r="E35" i="8" s="1"/>
  <c r="F35" i="8" s="1"/>
  <c r="D30" i="8"/>
  <c r="D29" i="8"/>
  <c r="E29" i="8" s="1"/>
  <c r="D28" i="8"/>
  <c r="F27" i="8"/>
  <c r="D26" i="8"/>
  <c r="E25" i="8"/>
  <c r="F25" i="8" s="1"/>
  <c r="D23" i="8"/>
  <c r="D22" i="8"/>
  <c r="E22" i="8" s="1"/>
  <c r="D21" i="8"/>
  <c r="E21" i="8" s="1"/>
  <c r="F21" i="8" s="1"/>
  <c r="F19" i="8"/>
  <c r="E18" i="8"/>
  <c r="F18" i="8" s="1"/>
  <c r="F16" i="8"/>
  <c r="F15" i="8"/>
  <c r="G51" i="8" l="1"/>
  <c r="G55" i="8" s="1"/>
  <c r="C51" i="8"/>
  <c r="C55" i="8" s="1"/>
  <c r="J18" i="8"/>
  <c r="K18" i="8" s="1"/>
  <c r="K19" i="8"/>
  <c r="J16" i="8"/>
  <c r="K16" i="8" s="1"/>
  <c r="K15" i="8"/>
  <c r="K11" i="8"/>
  <c r="F64" i="8"/>
  <c r="E23" i="8"/>
  <c r="F23" i="8" s="1"/>
  <c r="C77" i="8"/>
  <c r="C84" i="8" s="1"/>
  <c r="E44" i="8"/>
  <c r="F44" i="8" s="1"/>
  <c r="E48" i="8"/>
  <c r="F48" i="8" s="1"/>
  <c r="H77" i="8"/>
  <c r="H84" i="8" s="1"/>
  <c r="E30" i="8"/>
  <c r="F30" i="8" s="1"/>
  <c r="E40" i="8"/>
  <c r="F40" i="8" s="1"/>
  <c r="G67" i="8"/>
  <c r="E65" i="8"/>
  <c r="F65" i="8" s="1"/>
  <c r="I36" i="8"/>
  <c r="I51" i="8" s="1"/>
  <c r="I55" i="8" s="1"/>
  <c r="I77" i="8" s="1"/>
  <c r="I84" i="8" s="1"/>
  <c r="F29" i="8"/>
  <c r="F47" i="8"/>
  <c r="D67" i="8"/>
  <c r="F62" i="8"/>
  <c r="E79" i="8"/>
  <c r="F79" i="8" s="1"/>
  <c r="F11" i="8"/>
  <c r="D75" i="8"/>
  <c r="F22" i="8"/>
  <c r="E26" i="8"/>
  <c r="F26" i="8" s="1"/>
  <c r="E28" i="8"/>
  <c r="F28" i="8" s="1"/>
  <c r="D36" i="8"/>
  <c r="D51" i="8" s="1"/>
  <c r="D55" i="8" s="1"/>
  <c r="E39" i="8"/>
  <c r="F39" i="8" s="1"/>
  <c r="E43" i="8"/>
  <c r="F43" i="8" s="1"/>
  <c r="E49" i="8"/>
  <c r="F49" i="8" s="1"/>
  <c r="E50" i="8"/>
  <c r="F50" i="8" s="1"/>
  <c r="E53" i="8"/>
  <c r="F53" i="8" s="1"/>
  <c r="E54" i="8"/>
  <c r="F54" i="8" s="1"/>
  <c r="E58" i="8"/>
  <c r="E67" i="8" s="1"/>
  <c r="F61" i="8"/>
  <c r="E72" i="8"/>
  <c r="F72" i="8" s="1"/>
  <c r="E74" i="8"/>
  <c r="F74" i="8" s="1"/>
  <c r="E82" i="8"/>
  <c r="F82" i="8" s="1"/>
  <c r="G77" i="8" l="1"/>
  <c r="G84" i="8" s="1"/>
  <c r="J36" i="8"/>
  <c r="J51" i="8" s="1"/>
  <c r="J55" i="8" s="1"/>
  <c r="J77" i="8" s="1"/>
  <c r="J84" i="8" s="1"/>
  <c r="K9" i="8"/>
  <c r="F75" i="8"/>
  <c r="F58" i="8"/>
  <c r="F67" i="8" s="1"/>
  <c r="D77" i="8"/>
  <c r="D84" i="8" s="1"/>
  <c r="E36" i="8"/>
  <c r="E51" i="8" s="1"/>
  <c r="E55" i="8" s="1"/>
  <c r="E75" i="8"/>
  <c r="F9" i="8"/>
  <c r="F36" i="8" s="1"/>
  <c r="F51" i="8" s="1"/>
  <c r="F55" i="8" s="1"/>
  <c r="F77" i="8" l="1"/>
  <c r="F84" i="8" s="1"/>
  <c r="E77" i="8"/>
  <c r="E84" i="8" s="1"/>
  <c r="Q44" i="5"/>
  <c r="Q40" i="5"/>
  <c r="Q35" i="5"/>
  <c r="Q36" i="5" s="1"/>
  <c r="Q29" i="5"/>
  <c r="Q30" i="5" s="1"/>
  <c r="Q23" i="5"/>
  <c r="Q16" i="5"/>
  <c r="Q17" i="5" s="1"/>
  <c r="Q10" i="5"/>
  <c r="P43" i="5"/>
  <c r="P42" i="5"/>
  <c r="P44" i="5" s="1"/>
  <c r="P39" i="5"/>
  <c r="P34" i="5"/>
  <c r="P35" i="5" s="1"/>
  <c r="P33" i="5"/>
  <c r="P28" i="5"/>
  <c r="P27" i="5"/>
  <c r="P26" i="5"/>
  <c r="P25" i="5"/>
  <c r="P23" i="5"/>
  <c r="P22" i="5"/>
  <c r="P21" i="5"/>
  <c r="P20" i="5"/>
  <c r="P15" i="5"/>
  <c r="P14" i="5"/>
  <c r="P13" i="5"/>
  <c r="P9" i="5"/>
  <c r="P8" i="5"/>
  <c r="P10" i="5" s="1"/>
  <c r="J39" i="5"/>
  <c r="J34" i="5"/>
  <c r="J28" i="5"/>
  <c r="J26" i="5"/>
  <c r="J15" i="5"/>
  <c r="J14" i="5"/>
  <c r="J13" i="5"/>
  <c r="J9" i="5"/>
  <c r="J8" i="5"/>
  <c r="O43" i="5"/>
  <c r="O42" i="5"/>
  <c r="O39" i="5"/>
  <c r="O34" i="5"/>
  <c r="O33" i="5"/>
  <c r="O28" i="5"/>
  <c r="O27" i="5"/>
  <c r="O26" i="5"/>
  <c r="O25" i="5"/>
  <c r="O22" i="5"/>
  <c r="O20" i="5"/>
  <c r="O15" i="5"/>
  <c r="O14" i="5"/>
  <c r="O13" i="5"/>
  <c r="O9" i="5"/>
  <c r="O8" i="5"/>
  <c r="O44" i="5"/>
  <c r="O35" i="5"/>
  <c r="O29" i="5"/>
  <c r="O23" i="5"/>
  <c r="O16" i="5"/>
  <c r="O10" i="5"/>
  <c r="I39" i="5"/>
  <c r="I34" i="5"/>
  <c r="I28" i="5"/>
  <c r="I26" i="5"/>
  <c r="I22" i="5"/>
  <c r="I20" i="5"/>
  <c r="I15" i="5"/>
  <c r="I14" i="5"/>
  <c r="I13" i="5"/>
  <c r="I9" i="5"/>
  <c r="I8" i="5"/>
  <c r="N43" i="5"/>
  <c r="N42" i="5"/>
  <c r="N39" i="5"/>
  <c r="N34" i="5"/>
  <c r="N33" i="5"/>
  <c r="N28" i="5"/>
  <c r="N27" i="5"/>
  <c r="N26" i="5"/>
  <c r="N25" i="5"/>
  <c r="N22" i="5"/>
  <c r="N20" i="5"/>
  <c r="N15" i="5"/>
  <c r="N14" i="5"/>
  <c r="N16" i="5" s="1"/>
  <c r="N13" i="5"/>
  <c r="N9" i="5"/>
  <c r="N8" i="5"/>
  <c r="N44" i="5"/>
  <c r="N35" i="5"/>
  <c r="N29" i="5"/>
  <c r="N23" i="5"/>
  <c r="N10" i="5"/>
  <c r="M44" i="5"/>
  <c r="M40" i="5"/>
  <c r="M35" i="5"/>
  <c r="M36" i="5" s="1"/>
  <c r="M29" i="5"/>
  <c r="M30" i="5" s="1"/>
  <c r="M23" i="5"/>
  <c r="M16" i="5"/>
  <c r="M17" i="5" s="1"/>
  <c r="M10" i="5"/>
  <c r="P29" i="5" l="1"/>
  <c r="P16" i="5"/>
  <c r="P17" i="5"/>
  <c r="O17" i="5"/>
  <c r="O30" i="5" s="1"/>
  <c r="O36" i="5" s="1"/>
  <c r="O40" i="5" s="1"/>
  <c r="N17" i="5"/>
  <c r="N30" i="5" s="1"/>
  <c r="N36" i="5" s="1"/>
  <c r="N40" i="5" s="1"/>
  <c r="L44" i="5"/>
  <c r="L35" i="5"/>
  <c r="L29" i="5"/>
  <c r="L23" i="5"/>
  <c r="L16" i="5"/>
  <c r="L10" i="5"/>
  <c r="K43" i="5"/>
  <c r="K42" i="5"/>
  <c r="K27" i="5"/>
  <c r="K21" i="5"/>
  <c r="E39" i="5"/>
  <c r="E34" i="5"/>
  <c r="E28" i="5"/>
  <c r="E27" i="5"/>
  <c r="E26" i="5"/>
  <c r="E25" i="5"/>
  <c r="E20" i="5"/>
  <c r="E15" i="5"/>
  <c r="E14" i="5"/>
  <c r="E13" i="5"/>
  <c r="E9" i="5"/>
  <c r="E8" i="5"/>
  <c r="J44" i="5"/>
  <c r="J43" i="5"/>
  <c r="J42" i="5"/>
  <c r="J33" i="5"/>
  <c r="J27" i="5"/>
  <c r="J25" i="5"/>
  <c r="K25" i="5" s="1"/>
  <c r="D8" i="5"/>
  <c r="D39" i="5"/>
  <c r="D34" i="5"/>
  <c r="D33" i="5"/>
  <c r="D28" i="5"/>
  <c r="D27" i="5"/>
  <c r="D26" i="5"/>
  <c r="D25" i="5"/>
  <c r="D20" i="5"/>
  <c r="D15" i="5"/>
  <c r="D14" i="5"/>
  <c r="D13" i="5"/>
  <c r="D9" i="5"/>
  <c r="I44" i="5"/>
  <c r="I43" i="5"/>
  <c r="I42" i="5"/>
  <c r="K39" i="5"/>
  <c r="K34" i="5"/>
  <c r="I33" i="5"/>
  <c r="K28" i="5"/>
  <c r="I27" i="5"/>
  <c r="K26" i="5"/>
  <c r="I25" i="5"/>
  <c r="I29" i="5" s="1"/>
  <c r="I23" i="5"/>
  <c r="J22" i="5"/>
  <c r="K22" i="5" s="1"/>
  <c r="J20" i="5"/>
  <c r="K15" i="5"/>
  <c r="K14" i="5"/>
  <c r="K9" i="5"/>
  <c r="L17" i="5" l="1"/>
  <c r="L30" i="5" s="1"/>
  <c r="L36" i="5"/>
  <c r="L40" i="5" s="1"/>
  <c r="P30" i="5"/>
  <c r="P36" i="5" s="1"/>
  <c r="P40" i="5" s="1"/>
  <c r="I35" i="5"/>
  <c r="J35" i="5"/>
  <c r="K33" i="5"/>
  <c r="J29" i="5"/>
  <c r="K20" i="5"/>
  <c r="K23" i="5" s="1"/>
  <c r="J23" i="5"/>
  <c r="I16" i="5"/>
  <c r="J16" i="5"/>
  <c r="K13" i="5"/>
  <c r="K16" i="5" s="1"/>
  <c r="I10" i="5"/>
  <c r="K8" i="5"/>
  <c r="K10" i="5" s="1"/>
  <c r="J10" i="5"/>
  <c r="K44" i="5"/>
  <c r="K35" i="5"/>
  <c r="K29" i="5"/>
  <c r="H44" i="5"/>
  <c r="H35" i="5"/>
  <c r="H29" i="5"/>
  <c r="H23" i="5"/>
  <c r="H16" i="5"/>
  <c r="H17" i="5" s="1"/>
  <c r="G44" i="5"/>
  <c r="C44" i="5"/>
  <c r="D43" i="5"/>
  <c r="E43" i="5" s="1"/>
  <c r="F43" i="5" s="1"/>
  <c r="E42" i="5"/>
  <c r="F42" i="5" s="1"/>
  <c r="F44" i="5" s="1"/>
  <c r="D42" i="5"/>
  <c r="F39" i="5"/>
  <c r="G35" i="5"/>
  <c r="C35" i="5"/>
  <c r="F34" i="5"/>
  <c r="E33" i="5"/>
  <c r="F33" i="5" s="1"/>
  <c r="G29" i="5"/>
  <c r="C29" i="5"/>
  <c r="F28" i="5"/>
  <c r="F27" i="5"/>
  <c r="F26" i="5"/>
  <c r="G23" i="5"/>
  <c r="C23" i="5"/>
  <c r="D22" i="5"/>
  <c r="F22" i="5" s="1"/>
  <c r="F21" i="5"/>
  <c r="D23" i="5"/>
  <c r="G16" i="5"/>
  <c r="C16" i="5"/>
  <c r="F15" i="5"/>
  <c r="F14" i="5"/>
  <c r="H10" i="5"/>
  <c r="G10" i="5"/>
  <c r="G17" i="5" s="1"/>
  <c r="C10" i="5"/>
  <c r="C17" i="5" s="1"/>
  <c r="F9" i="5"/>
  <c r="F8" i="5"/>
  <c r="N85" i="2"/>
  <c r="N81" i="2"/>
  <c r="N73" i="2"/>
  <c r="N58" i="2"/>
  <c r="N60" i="2" s="1"/>
  <c r="N39" i="2"/>
  <c r="N33" i="2"/>
  <c r="N20" i="2"/>
  <c r="N41" i="2" s="1"/>
  <c r="N18" i="2"/>
  <c r="M85" i="2"/>
  <c r="M81" i="2"/>
  <c r="M73" i="2"/>
  <c r="M58" i="2"/>
  <c r="M60" i="2" s="1"/>
  <c r="L58" i="2"/>
  <c r="M33" i="2"/>
  <c r="M39" i="2" s="1"/>
  <c r="M18" i="2"/>
  <c r="M20" i="2" s="1"/>
  <c r="M41" i="2" s="1"/>
  <c r="L81" i="2"/>
  <c r="L85" i="2" s="1"/>
  <c r="L73" i="2"/>
  <c r="L60" i="2"/>
  <c r="L39" i="2"/>
  <c r="L33" i="2"/>
  <c r="L20" i="2"/>
  <c r="L41" i="2" s="1"/>
  <c r="L18" i="2"/>
  <c r="K85" i="2"/>
  <c r="K81" i="2"/>
  <c r="K73" i="2"/>
  <c r="K58" i="2"/>
  <c r="K60" i="2" s="1"/>
  <c r="K33" i="2"/>
  <c r="K39" i="2" s="1"/>
  <c r="K41" i="2" s="1"/>
  <c r="K18" i="2"/>
  <c r="K20" i="2" s="1"/>
  <c r="J81" i="2"/>
  <c r="J85" i="2" s="1"/>
  <c r="J73" i="2"/>
  <c r="J58" i="2"/>
  <c r="J60" i="2" s="1"/>
  <c r="J33" i="2"/>
  <c r="J39" i="2" s="1"/>
  <c r="J18" i="2"/>
  <c r="J20" i="2" s="1"/>
  <c r="I81" i="2"/>
  <c r="I85" i="2" s="1"/>
  <c r="I73" i="2"/>
  <c r="I58" i="2"/>
  <c r="I60" i="2" s="1"/>
  <c r="I33" i="2"/>
  <c r="I39" i="2" s="1"/>
  <c r="I20" i="2"/>
  <c r="I18" i="2"/>
  <c r="H81" i="2"/>
  <c r="H85" i="2" s="1"/>
  <c r="H73" i="2"/>
  <c r="H58" i="2"/>
  <c r="H60" i="2" s="1"/>
  <c r="H33" i="2"/>
  <c r="H39" i="2" s="1"/>
  <c r="H18" i="2"/>
  <c r="H20" i="2" s="1"/>
  <c r="G81" i="2"/>
  <c r="G85" i="2" s="1"/>
  <c r="G73" i="2"/>
  <c r="G58" i="2"/>
  <c r="G60" i="2" s="1"/>
  <c r="G33" i="2"/>
  <c r="G39" i="2" s="1"/>
  <c r="G20" i="2"/>
  <c r="G18" i="2"/>
  <c r="F81" i="2"/>
  <c r="F85" i="2" s="1"/>
  <c r="F73" i="2"/>
  <c r="F58" i="2"/>
  <c r="F60" i="2" s="1"/>
  <c r="F33" i="2"/>
  <c r="F39" i="2" s="1"/>
  <c r="F18" i="2"/>
  <c r="F20" i="2" s="1"/>
  <c r="E81" i="2"/>
  <c r="E85" i="2" s="1"/>
  <c r="E73" i="2"/>
  <c r="E74" i="2" s="1"/>
  <c r="E58" i="2"/>
  <c r="E60" i="2" s="1"/>
  <c r="E33" i="2"/>
  <c r="E39" i="2" s="1"/>
  <c r="E18" i="2"/>
  <c r="E20" i="2" s="1"/>
  <c r="D81" i="2"/>
  <c r="D85" i="2" s="1"/>
  <c r="D73" i="2"/>
  <c r="D58" i="2"/>
  <c r="D60" i="2" s="1"/>
  <c r="D33" i="2"/>
  <c r="D39" i="2" s="1"/>
  <c r="D18" i="2"/>
  <c r="D20" i="2" s="1"/>
  <c r="C81" i="2"/>
  <c r="C85" i="2" s="1"/>
  <c r="C73" i="2"/>
  <c r="C58" i="2"/>
  <c r="C60" i="2" s="1"/>
  <c r="C74" i="2" s="1"/>
  <c r="C33" i="2"/>
  <c r="C39" i="2" s="1"/>
  <c r="C18" i="2"/>
  <c r="C20" i="2" s="1"/>
  <c r="K74" i="2" l="1"/>
  <c r="K87" i="2" s="1"/>
  <c r="M74" i="2"/>
  <c r="M87" i="2" s="1"/>
  <c r="C41" i="2"/>
  <c r="E87" i="2"/>
  <c r="E41" i="2"/>
  <c r="N74" i="2"/>
  <c r="N87" i="2" s="1"/>
  <c r="F41" i="2"/>
  <c r="I17" i="5"/>
  <c r="I30" i="5" s="1"/>
  <c r="I36" i="5" s="1"/>
  <c r="I40" i="5" s="1"/>
  <c r="J17" i="5"/>
  <c r="J30" i="5" s="1"/>
  <c r="J36" i="5" s="1"/>
  <c r="J40" i="5" s="1"/>
  <c r="K17" i="5"/>
  <c r="K30" i="5" s="1"/>
  <c r="K36" i="5" s="1"/>
  <c r="K40" i="5" s="1"/>
  <c r="H30" i="5"/>
  <c r="H36" i="5" s="1"/>
  <c r="H40" i="5" s="1"/>
  <c r="G30" i="5"/>
  <c r="G36" i="5" s="1"/>
  <c r="G40" i="5" s="1"/>
  <c r="E29" i="5"/>
  <c r="C30" i="5"/>
  <c r="C36" i="5" s="1"/>
  <c r="C40" i="5" s="1"/>
  <c r="D16" i="5"/>
  <c r="F13" i="5"/>
  <c r="F16" i="5" s="1"/>
  <c r="F35" i="5"/>
  <c r="F10" i="5"/>
  <c r="D10" i="5"/>
  <c r="E16" i="5"/>
  <c r="D29" i="5"/>
  <c r="D35" i="5"/>
  <c r="D44" i="5"/>
  <c r="E10" i="5"/>
  <c r="F25" i="5"/>
  <c r="F29" i="5" s="1"/>
  <c r="E35" i="5"/>
  <c r="E44" i="5"/>
  <c r="L74" i="2"/>
  <c r="L87" i="2"/>
  <c r="I41" i="2"/>
  <c r="G41" i="2"/>
  <c r="D41" i="2"/>
  <c r="C87" i="2"/>
  <c r="F74" i="2"/>
  <c r="F87" i="2" s="1"/>
  <c r="J41" i="2"/>
  <c r="I74" i="2"/>
  <c r="I87" i="2" s="1"/>
  <c r="D74" i="2"/>
  <c r="D87" i="2" s="1"/>
  <c r="H74" i="2"/>
  <c r="H87" i="2" s="1"/>
  <c r="J74" i="2"/>
  <c r="J87" i="2" s="1"/>
  <c r="H41" i="2"/>
  <c r="G74" i="2"/>
  <c r="G87" i="2" s="1"/>
  <c r="E17" i="5" l="1"/>
  <c r="D17" i="5"/>
  <c r="D30" i="5" s="1"/>
  <c r="D36" i="5" s="1"/>
  <c r="D40" i="5" s="1"/>
  <c r="F17" i="5"/>
  <c r="F20" i="5"/>
  <c r="F23" i="5" s="1"/>
  <c r="E23" i="5"/>
  <c r="E30" i="5" s="1"/>
  <c r="E36" i="5" s="1"/>
  <c r="E40" i="5" s="1"/>
  <c r="F30" i="5" l="1"/>
  <c r="F36" i="5" s="1"/>
  <c r="F40" i="5" s="1"/>
  <c r="L36" i="8" l="1"/>
  <c r="L51" i="8" s="1"/>
  <c r="L55" i="8" s="1"/>
  <c r="L77" i="8" s="1"/>
  <c r="L84" i="8" s="1"/>
  <c r="K36" i="8"/>
  <c r="K51" i="8" l="1"/>
  <c r="K55" i="8" s="1"/>
  <c r="K77" i="8" l="1"/>
  <c r="K84" i="8" s="1"/>
  <c r="P14" i="8" l="1"/>
  <c r="P36" i="8" s="1"/>
  <c r="P51" i="8" s="1"/>
  <c r="P55" i="8" s="1"/>
  <c r="P77" i="8" s="1"/>
  <c r="P84" i="8" s="1"/>
</calcChain>
</file>

<file path=xl/sharedStrings.xml><?xml version="1.0" encoding="utf-8"?>
<sst xmlns="http://schemas.openxmlformats.org/spreadsheetml/2006/main" count="256" uniqueCount="187">
  <si>
    <t>2016</t>
  </si>
  <si>
    <t>2017</t>
  </si>
  <si>
    <t>2018</t>
  </si>
  <si>
    <t>Assets</t>
  </si>
  <si>
    <t>Current Assets</t>
  </si>
  <si>
    <t>Cash and cash equivalents</t>
  </si>
  <si>
    <t>Financial investments</t>
  </si>
  <si>
    <t>Derivative financial instruments</t>
  </si>
  <si>
    <t>Trade receivables</t>
  </si>
  <si>
    <t>Inventory</t>
  </si>
  <si>
    <t>Taxes recoverable</t>
  </si>
  <si>
    <t>Dividends receivable</t>
  </si>
  <si>
    <t>Financial instruments - firm commitment</t>
  </si>
  <si>
    <t>Other assets</t>
  </si>
  <si>
    <t>Assets classified as held-for-sale</t>
  </si>
  <si>
    <t>Non-current assets</t>
  </si>
  <si>
    <t>Long-term receivables</t>
  </si>
  <si>
    <t>Judicial deposits</t>
  </si>
  <si>
    <t>Deferred income tax and social contribution</t>
  </si>
  <si>
    <t>Related parties</t>
  </si>
  <si>
    <t>Financial instruments - put option</t>
  </si>
  <si>
    <t>Investments</t>
  </si>
  <si>
    <t>Property, plant and equipment</t>
  </si>
  <si>
    <t>Intangible assets</t>
  </si>
  <si>
    <t>Biological assets</t>
  </si>
  <si>
    <t>Total assets</t>
  </si>
  <si>
    <t>Liabilities and equity</t>
  </si>
  <si>
    <t>Current liabilities</t>
  </si>
  <si>
    <t>Borrowing</t>
  </si>
  <si>
    <t>Confirming payables</t>
  </si>
  <si>
    <t>Trade payables</t>
  </si>
  <si>
    <t>Salaries and payroll charges</t>
  </si>
  <si>
    <t>Taxes payable</t>
  </si>
  <si>
    <t>Advances from clients</t>
  </si>
  <si>
    <t>Dividends payable</t>
  </si>
  <si>
    <t>Use of public assets</t>
  </si>
  <si>
    <t>Deferred revenue - performance obligations</t>
  </si>
  <si>
    <t>Deferred revenue - silver streaming</t>
  </si>
  <si>
    <t>Other liabilities</t>
  </si>
  <si>
    <t>Liabilities related to assets held-for-sale</t>
  </si>
  <si>
    <t>Non-current liabilities</t>
  </si>
  <si>
    <t>Provision</t>
  </si>
  <si>
    <t>Pension plan and post-employment health care benefits</t>
  </si>
  <si>
    <t>Total liabilities</t>
  </si>
  <si>
    <t>Equity</t>
  </si>
  <si>
    <t>Share capital</t>
  </si>
  <si>
    <t>Revenue reserves</t>
  </si>
  <si>
    <t>Carrying value adjustments</t>
  </si>
  <si>
    <t>Total equity attributable to the owners of the Company</t>
  </si>
  <si>
    <t>Total equity</t>
  </si>
  <si>
    <t>Total liabilities and equity</t>
  </si>
  <si>
    <t>Continuing operations</t>
  </si>
  <si>
    <t>Net revenue from products sold and services rendered</t>
  </si>
  <si>
    <t>Cost of products sold and services rendered</t>
  </si>
  <si>
    <t>Gross profit</t>
  </si>
  <si>
    <t>Operating income (expenses)</t>
  </si>
  <si>
    <t>Selling</t>
  </si>
  <si>
    <t>General and administrative</t>
  </si>
  <si>
    <t>Other operating income (expenses), net</t>
  </si>
  <si>
    <t>Operating profit before equity results and finance results</t>
  </si>
  <si>
    <t>Results from equity investments</t>
  </si>
  <si>
    <t>Equity in the results of investees</t>
  </si>
  <si>
    <t>Dividends received</t>
  </si>
  <si>
    <t>Realization of other comprehensive income on disposal of investments</t>
  </si>
  <si>
    <t>Finance results, net</t>
  </si>
  <si>
    <t>Finance income</t>
  </si>
  <si>
    <t>Finance costs</t>
  </si>
  <si>
    <t>Result of derivative financial instruments</t>
  </si>
  <si>
    <t>Foreign exchange losses, net</t>
  </si>
  <si>
    <t>Profit before income tax and social contribution</t>
  </si>
  <si>
    <t>Current</t>
  </si>
  <si>
    <t>Deferred</t>
  </si>
  <si>
    <t>Profit from continuing operations</t>
  </si>
  <si>
    <t>Discontinued operations</t>
  </si>
  <si>
    <t>Loss on discontinued operations</t>
  </si>
  <si>
    <t>Profit for the year attributable to the owners of the Company</t>
  </si>
  <si>
    <t>Profit attributable to the owners of the Company</t>
  </si>
  <si>
    <t>Profit attributable to non-controlling interests</t>
  </si>
  <si>
    <t>Profit for the year</t>
  </si>
  <si>
    <t>Income tax and social contribution</t>
  </si>
  <si>
    <t xml:space="preserve">Cash flow from operating activities </t>
  </si>
  <si>
    <t>Adjustments to items that do not represent changes in cash and cash equivalents</t>
  </si>
  <si>
    <t xml:space="preserve">   Depreciation, amortization and depletion </t>
  </si>
  <si>
    <t xml:space="preserve">   Equity in the results of investees</t>
  </si>
  <si>
    <t xml:space="preserve">   Deliberation of interim dividends of Fibria</t>
  </si>
  <si>
    <t xml:space="preserve">   Interest, indexation and foreign exchange variations</t>
  </si>
  <si>
    <t xml:space="preserve">   Reversal for the impairment of fixed, intangible assets and investments</t>
  </si>
  <si>
    <t xml:space="preserve">   Gain on sales of fixed and intangible assets, net</t>
  </si>
  <si>
    <t xml:space="preserve">   Net gain on sale of investment</t>
  </si>
  <si>
    <t xml:space="preserve">   Net gain from financial instrument - put option</t>
  </si>
  <si>
    <t xml:space="preserve">   Gain on debt renegotiation</t>
  </si>
  <si>
    <t xml:space="preserve">   Tax recovery</t>
  </si>
  <si>
    <t xml:space="preserve">   Change in fair value of biological assets</t>
  </si>
  <si>
    <t xml:space="preserve">   Financial instruments - firm commitment</t>
  </si>
  <si>
    <t xml:space="preserve">   Derivative financial instruments</t>
  </si>
  <si>
    <t xml:space="preserve">   Constitution (reversal) of provision</t>
  </si>
  <si>
    <t xml:space="preserve">   Fair value adjustment</t>
  </si>
  <si>
    <t xml:space="preserve">Decrease (increase) in assets </t>
  </si>
  <si>
    <t xml:space="preserve">   Financial investments </t>
  </si>
  <si>
    <t xml:space="preserve">   Trade accounts receivable </t>
  </si>
  <si>
    <t xml:space="preserve">   Inventory </t>
  </si>
  <si>
    <t xml:space="preserve">   Taxes recoverable </t>
  </si>
  <si>
    <t xml:space="preserve">   Related parties</t>
  </si>
  <si>
    <t xml:space="preserve">   Other accounts receivable and other assets</t>
  </si>
  <si>
    <t xml:space="preserve">Increase (decrease) in liabilities </t>
  </si>
  <si>
    <t xml:space="preserve">   Trade payables </t>
  </si>
  <si>
    <t xml:space="preserve">   Salaries and social charges </t>
  </si>
  <si>
    <t xml:space="preserve">   Use of public assets</t>
  </si>
  <si>
    <t xml:space="preserve">   Taxes payable </t>
  </si>
  <si>
    <t xml:space="preserve">   Other obligations and other liabilities </t>
  </si>
  <si>
    <t>Cash provided by operating activities</t>
  </si>
  <si>
    <t xml:space="preserve">   Interest paid on borrowing and use of public assets </t>
  </si>
  <si>
    <t xml:space="preserve">   Income tax and social contribution paid </t>
  </si>
  <si>
    <t>Net cash provided by operating activities</t>
  </si>
  <si>
    <t xml:space="preserve">Cash flow from investment activities </t>
  </si>
  <si>
    <t xml:space="preserve">   Proceeds from disposals of fixed and intangible assets </t>
  </si>
  <si>
    <t xml:space="preserve">   Resources from the public offering and sale of shares of Nexa</t>
  </si>
  <si>
    <t xml:space="preserve">   Investment sale</t>
  </si>
  <si>
    <t xml:space="preserve">   Dividends received</t>
  </si>
  <si>
    <t xml:space="preserve">   Acquisitions of investments</t>
  </si>
  <si>
    <t xml:space="preserve">   Acquisitions of property, plant and equipment </t>
  </si>
  <si>
    <t xml:space="preserve">   Increase in biological assets </t>
  </si>
  <si>
    <t xml:space="preserve">  Increase in intangible assets</t>
  </si>
  <si>
    <t>Net cash provided by (used in) investment activities</t>
  </si>
  <si>
    <t>Cash flow from financing activities</t>
  </si>
  <si>
    <t xml:space="preserve">   New borrowing</t>
  </si>
  <si>
    <t xml:space="preserve">   Repayment of borrowing</t>
  </si>
  <si>
    <t xml:space="preserve">   Dividends paid</t>
  </si>
  <si>
    <t>Net cash used in financing activities</t>
  </si>
  <si>
    <t>Increase (decrease) in cash and cash equivalents</t>
  </si>
  <si>
    <t>Effect of companies excluded from consolidation</t>
  </si>
  <si>
    <t>Effect of fluctuations in exchange rates</t>
  </si>
  <si>
    <t>Cash and cash equivalents at the beginning of year</t>
  </si>
  <si>
    <t>Cash and cash equivalents at end of year</t>
  </si>
  <si>
    <t xml:space="preserve">   Gain in fair value in VTRM´s operation</t>
  </si>
  <si>
    <t xml:space="preserve">   Discontinued Operations</t>
  </si>
  <si>
    <t>Retained (loss) earnings</t>
  </si>
  <si>
    <t>Liquidity Fund - Reserve account</t>
  </si>
  <si>
    <t xml:space="preserve">   Allowance for doubtful accounts</t>
  </si>
  <si>
    <t xml:space="preserve">   Discount on repurchase of bonds</t>
  </si>
  <si>
    <t xml:space="preserve">   Sale of Nexa shares</t>
  </si>
  <si>
    <t xml:space="preserve">   Realization of other comprehensive income on disposal of investments</t>
  </si>
  <si>
    <t xml:space="preserve">   Share premium paid</t>
  </si>
  <si>
    <t xml:space="preserve">  White-off of goodwill on the sale operations in China</t>
  </si>
  <si>
    <t>Cash increase resulting from incorporation</t>
  </si>
  <si>
    <t xml:space="preserve">   White-off of fixed assets without cash effect</t>
  </si>
  <si>
    <t>Reduction of cash resulting from reclassification to assets held-for-sale</t>
  </si>
  <si>
    <t>(R$ million)</t>
  </si>
  <si>
    <t xml:space="preserve">Non-controlling interests 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</si>
  <si>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</si>
  <si>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</si>
  <si>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</si>
  <si>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</si>
  <si>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</si>
  <si>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</si>
  <si>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</si>
  <si>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</si>
  <si>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</si>
  <si>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</si>
  <si>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</si>
  <si>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</si>
  <si>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 xml:space="preserve">   Continuing operations</t>
  </si>
  <si>
    <t xml:space="preserve">      Equity in the results of investees</t>
  </si>
  <si>
    <t xml:space="preserve">      Finance results, net</t>
  </si>
  <si>
    <t xml:space="preserve">      Income tax and social contribution</t>
  </si>
  <si>
    <t xml:space="preserve">      Depreciation, amortization and depletion</t>
  </si>
  <si>
    <t xml:space="preserve">   Discontinued operations</t>
  </si>
  <si>
    <t>Plus:</t>
  </si>
  <si>
    <t xml:space="preserve">   EBITDA - discontinued operations</t>
  </si>
  <si>
    <t xml:space="preserve">   Plus (less):</t>
  </si>
  <si>
    <t>Extraordinary items</t>
  </si>
  <si>
    <t xml:space="preserve">   Non-recurring items - discontinued operations</t>
  </si>
  <si>
    <t xml:space="preserve">   Gain on sale of investments, net</t>
  </si>
  <si>
    <t xml:space="preserve">   Reversal for impairment of investments</t>
  </si>
  <si>
    <t xml:space="preserve">   Fair value of biological assets</t>
  </si>
  <si>
    <t xml:space="preserve">   PERT payment with deferred tax credit</t>
  </si>
  <si>
    <t xml:space="preserve">   Gain by adjustment to fair value in deconsolidation of VTRM</t>
  </si>
  <si>
    <t xml:space="preserve">   Other</t>
  </si>
  <si>
    <t>Adjusted annualized EBITDA</t>
  </si>
  <si>
    <t>Industrial segments</t>
  </si>
  <si>
    <t xml:space="preserve">   EBITDA before other additions and exceptional items</t>
  </si>
  <si>
    <t xml:space="preserve">   Constitution (reversal) for impairment of property, plant, equipament and
   intangible assets</t>
  </si>
  <si>
    <t xml:space="preserve">* Values considering restatements
</t>
  </si>
  <si>
    <t>Consolidated Balance Sheet</t>
  </si>
  <si>
    <t>Consolidated Income Statement</t>
  </si>
  <si>
    <t>Consolidated Cash Flows Statement</t>
  </si>
  <si>
    <t>Consolidated Adjusted EBITDA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</si>
</sst>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* #,##0_);_(* \(#,##0\);_(* &quot;-&quot;??__\);_(@_)"/>
    <numFmt numFmtId="165" formatCode="mm/dd/yy;@"/>
  </numFmts>
  <fonts count="6" x14ac:knownFonts="1">
    <font>
      <sz val="11"/>
      <color theme="1"/>
      <name val="Calibri"/>
      <family val="2"/>
      <scheme val="minor"/>
    </font>
    <font>
      <b/>
      <sz val="12"/>
      <color theme="0"/>
      <name val="Votorantim Sans"/>
    </font>
    <font>
      <b/>
      <sz val="12"/>
      <color theme="2" tint="-0.499984740745262"/>
      <name val="Votorantim Sans"/>
    </font>
    <font>
      <b/>
      <sz val="11"/>
      <color theme="2" tint="-0.499984740745262"/>
      <name val="Votorantim Sans"/>
    </font>
    <font>
      <sz val="11"/>
      <color theme="2" tint="-0.499984740745262"/>
      <name val="Votorantim Sans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B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 applyFill="1"/>
    <xf numFmtId="14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3" fillId="0" borderId="0" xfId="0" applyFont="1" applyFill="1"/>
    <xf numFmtId="3" fontId="3" fillId="0" borderId="0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Border="1"/>
    <xf numFmtId="0" fontId="0" fillId="0" borderId="0" xfId="0" applyBorder="1"/>
    <xf numFmtId="3" fontId="4" fillId="0" borderId="6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14" fontId="0" fillId="0" borderId="0" xfId="0" applyNumberFormat="1"/>
    <xf numFmtId="164" fontId="3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3" borderId="0" xfId="0" applyFont="1" applyFill="1"/>
    <xf numFmtId="0" fontId="4" fillId="3" borderId="0" xfId="0" applyFont="1" applyFill="1" applyBorder="1"/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Fill="1"/>
    <xf numFmtId="0" fontId="0" fillId="0" borderId="0" xfId="0" applyFont="1"/>
    <xf numFmtId="3" fontId="0" fillId="0" borderId="0" xfId="0" applyNumberFormat="1"/>
    <xf numFmtId="0" fontId="3" fillId="3" borderId="0" xfId="0" applyFont="1" applyFill="1" applyBorder="1"/>
    <xf numFmtId="0" fontId="4" fillId="3" borderId="0" xfId="0" applyFont="1" applyFill="1" applyBorder="1" applyAlignment="1">
      <alignment wrapText="1"/>
    </xf>
    <xf numFmtId="165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1" fillId="2" borderId="0" xfId="0" quotePrefix="1" applyNumberFormat="1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0" fillId="4" borderId="0" xfId="0" applyFill="1"/>
    <xf numFmtId="3" fontId="4" fillId="4" borderId="0" xfId="0" applyNumberFormat="1" applyFont="1" applyFill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3" fontId="3" fillId="4" borderId="0" xfId="0" applyNumberFormat="1" applyFont="1" applyFill="1" applyBorder="1" applyAlignment="1">
      <alignment horizontal="right" vertical="center"/>
    </xf>
    <xf numFmtId="164" fontId="4" fillId="4" borderId="0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3" fontId="4" fillId="4" borderId="4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3" fontId="4" fillId="4" borderId="0" xfId="0" applyNumberFormat="1" applyFont="1" applyFill="1" applyBorder="1" applyAlignment="1">
      <alignment horizontal="right" vertical="center"/>
    </xf>
    <xf numFmtId="3" fontId="4" fillId="4" borderId="2" xfId="0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164" fontId="3" fillId="4" borderId="3" xfId="0" applyNumberFormat="1" applyFont="1" applyFill="1" applyBorder="1" applyAlignment="1">
      <alignment horizontal="right" vertical="center"/>
    </xf>
    <xf numFmtId="3" fontId="3" fillId="4" borderId="2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164" fontId="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165" fontId="1" fillId="2" borderId="0" xfId="0" quotePrefix="1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Balance Sheet'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'Adjusted EBITDA'!A1"/><Relationship Id="rId5" Type="http://schemas.openxmlformats.org/officeDocument/2006/relationships/hyperlink" Target="#'Cash Flow Statement'!A1"/><Relationship Id="rId4" Type="http://schemas.openxmlformats.org/officeDocument/2006/relationships/hyperlink" Target="#'Income Statement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38</xdr:row>
      <xdr:rowOff>9525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29475" cy="7248525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28</xdr:row>
      <xdr:rowOff>177545</xdr:rowOff>
    </xdr:from>
    <xdr:to>
      <xdr:col>5</xdr:col>
      <xdr:colOff>398681</xdr:colOff>
      <xdr:row>31</xdr:row>
      <xdr:rowOff>156379</xdr:rowOff>
    </xdr:to>
    <xdr:sp macro="" textlink="">
      <xdr:nvSpPr>
        <xdr:cNvPr id="3" name="CaixaDeTexto 10"/>
        <xdr:cNvSpPr txBox="1"/>
      </xdr:nvSpPr>
      <xdr:spPr>
        <a:xfrm>
          <a:off x="152400" y="5511545"/>
          <a:ext cx="3294281" cy="550334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24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Votorantim S.A.</a:t>
          </a:r>
        </a:p>
      </xdr:txBody>
    </xdr:sp>
    <xdr:clientData/>
  </xdr:twoCellAnchor>
  <xdr:twoCellAnchor editAs="oneCell">
    <xdr:from>
      <xdr:col>0</xdr:col>
      <xdr:colOff>0</xdr:colOff>
      <xdr:row>1</xdr:row>
      <xdr:rowOff>102649</xdr:rowOff>
    </xdr:from>
    <xdr:to>
      <xdr:col>4</xdr:col>
      <xdr:colOff>393700</xdr:colOff>
      <xdr:row>4</xdr:row>
      <xdr:rowOff>69594</xdr:rowOff>
    </xdr:to>
    <xdr:pic>
      <xdr:nvPicPr>
        <xdr:cNvPr id="4" name="Imagem 3" descr="Resultado de imagem para VOTORANTIM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3149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173568</xdr:colOff>
      <xdr:row>31</xdr:row>
      <xdr:rowOff>124627</xdr:rowOff>
    </xdr:from>
    <xdr:to>
      <xdr:col>3</xdr:col>
      <xdr:colOff>295276</xdr:colOff>
      <xdr:row>35</xdr:row>
      <xdr:rowOff>38100</xdr:rowOff>
    </xdr:to>
    <xdr:sp macro="" textlink="">
      <xdr:nvSpPr>
        <xdr:cNvPr id="5" name="CaixaDeTexto 10"/>
        <xdr:cNvSpPr txBox="1"/>
      </xdr:nvSpPr>
      <xdr:spPr>
        <a:xfrm>
          <a:off x="173568" y="6030127"/>
          <a:ext cx="1950508" cy="675473"/>
        </a:xfrm>
        <a:prstGeom prst="rect">
          <a:avLst/>
        </a:prstGeom>
        <a:noFill/>
      </xdr:spPr>
      <xdr:txBody>
        <a:bodyPr wrap="square" rtlCol="0" anchor="t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Results Spreadsheet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3</xdr:col>
      <xdr:colOff>142875</xdr:colOff>
      <xdr:row>7</xdr:row>
      <xdr:rowOff>150021</xdr:rowOff>
    </xdr:from>
    <xdr:to>
      <xdr:col>9</xdr:col>
      <xdr:colOff>184478</xdr:colOff>
      <xdr:row>10</xdr:row>
      <xdr:rowOff>128855</xdr:rowOff>
    </xdr:to>
    <xdr:sp macro="" textlink="">
      <xdr:nvSpPr>
        <xdr:cNvPr id="6" name="CaixaDeTexto 10">
          <a:hlinkClick xmlns:r="http://schemas.openxmlformats.org/officeDocument/2006/relationships" r:id="rId3"/>
        </xdr:cNvPr>
        <xdr:cNvSpPr txBox="1"/>
      </xdr:nvSpPr>
      <xdr:spPr>
        <a:xfrm>
          <a:off x="1964531" y="1483521"/>
          <a:ext cx="368491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Balance Sheet</a:t>
          </a:r>
        </a:p>
      </xdr:txBody>
    </xdr:sp>
    <xdr:clientData/>
  </xdr:twoCellAnchor>
  <xdr:twoCellAnchor>
    <xdr:from>
      <xdr:col>3</xdr:col>
      <xdr:colOff>142875</xdr:colOff>
      <xdr:row>10</xdr:row>
      <xdr:rowOff>152401</xdr:rowOff>
    </xdr:from>
    <xdr:to>
      <xdr:col>10</xdr:col>
      <xdr:colOff>121900</xdr:colOff>
      <xdr:row>13</xdr:row>
      <xdr:rowOff>131235</xdr:rowOff>
    </xdr:to>
    <xdr:sp macro="" textlink="">
      <xdr:nvSpPr>
        <xdr:cNvPr id="7" name="CaixaDeTexto 10">
          <a:hlinkClick xmlns:r="http://schemas.openxmlformats.org/officeDocument/2006/relationships" r:id="rId4"/>
        </xdr:cNvPr>
        <xdr:cNvSpPr txBox="1"/>
      </xdr:nvSpPr>
      <xdr:spPr>
        <a:xfrm>
          <a:off x="1964531" y="2057401"/>
          <a:ext cx="4229557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</a:t>
          </a:r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Income Statement</a:t>
          </a:r>
        </a:p>
      </xdr:txBody>
    </xdr:sp>
    <xdr:clientData/>
  </xdr:twoCellAnchor>
  <xdr:twoCellAnchor>
    <xdr:from>
      <xdr:col>3</xdr:col>
      <xdr:colOff>142874</xdr:colOff>
      <xdr:row>13</xdr:row>
      <xdr:rowOff>119063</xdr:rowOff>
    </xdr:from>
    <xdr:to>
      <xdr:col>11</xdr:col>
      <xdr:colOff>400049</xdr:colOff>
      <xdr:row>16</xdr:row>
      <xdr:rowOff>97897</xdr:rowOff>
    </xdr:to>
    <xdr:sp macro="" textlink="">
      <xdr:nvSpPr>
        <xdr:cNvPr id="8" name="CaixaDeTexto 10">
          <a:hlinkClick xmlns:r="http://schemas.openxmlformats.org/officeDocument/2006/relationships" r:id="rId5"/>
        </xdr:cNvPr>
        <xdr:cNvSpPr txBox="1"/>
      </xdr:nvSpPr>
      <xdr:spPr>
        <a:xfrm>
          <a:off x="1971674" y="2595563"/>
          <a:ext cx="513397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Cash Flows Statement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3</xdr:col>
      <xdr:colOff>142875</xdr:colOff>
      <xdr:row>16</xdr:row>
      <xdr:rowOff>121443</xdr:rowOff>
    </xdr:from>
    <xdr:to>
      <xdr:col>10</xdr:col>
      <xdr:colOff>528340</xdr:colOff>
      <xdr:row>19</xdr:row>
      <xdr:rowOff>100277</xdr:rowOff>
    </xdr:to>
    <xdr:sp macro="" textlink="">
      <xdr:nvSpPr>
        <xdr:cNvPr id="10" name="CaixaDeTexto 10">
          <a:hlinkClick xmlns:r="http://schemas.openxmlformats.org/officeDocument/2006/relationships" r:id="rId6"/>
        </xdr:cNvPr>
        <xdr:cNvSpPr txBox="1"/>
      </xdr:nvSpPr>
      <xdr:spPr>
        <a:xfrm>
          <a:off x="1964531" y="3169443"/>
          <a:ext cx="4635997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Adjusted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EBITDA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2613025</xdr:colOff>
      <xdr:row>2</xdr:row>
      <xdr:rowOff>176495</xdr:rowOff>
    </xdr:to>
    <xdr:pic>
      <xdr:nvPicPr>
        <xdr:cNvPr id="2" name="Imagem 1" descr="Resultado de imagem para VOTORANTIM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2714625</xdr:colOff>
      <xdr:row>0</xdr:row>
      <xdr:rowOff>180975</xdr:rowOff>
    </xdr:from>
    <xdr:to>
      <xdr:col>1</xdr:col>
      <xdr:colOff>4000500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2"/>
        </xdr:cNvPr>
        <xdr:cNvSpPr/>
      </xdr:nvSpPr>
      <xdr:spPr>
        <a:xfrm>
          <a:off x="2943225" y="1809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abSelected="1" zoomScaleNormal="100" workbookViewId="0">
      <selection activeCell="A39" sqref="A39:L39"/>
    </sheetView>
  </sheetViews>
  <sheetFormatPr defaultColWidth="0" defaultRowHeight="15" zeroHeight="1" x14ac:dyDescent="0.25"/>
  <cols>
    <col min="1" max="11" width="9.140625" customWidth="1"/>
    <col min="12" max="12" width="7.85546875" customWidth="1"/>
    <col min="1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1:12" x14ac:dyDescent="0.25"/>
    <row r="34" spans="1:12" x14ac:dyDescent="0.25"/>
    <row r="35" spans="1:12" x14ac:dyDescent="0.25"/>
    <row r="36" spans="1:12" x14ac:dyDescent="0.25"/>
    <row r="37" spans="1:12" x14ac:dyDescent="0.25"/>
    <row r="38" spans="1:12" x14ac:dyDescent="0.25"/>
    <row r="39" spans="1:12" ht="18" customHeight="1" x14ac:dyDescent="0.25">
      <c r="A39" s="49" t="s">
        <v>182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ht="5.25" hidden="1" customHeight="1" x14ac:dyDescent="0.25"/>
  </sheetData>
  <mergeCells count="1">
    <mergeCell ref="A39:L3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114"/>
  <sheetViews>
    <sheetView showGridLine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4" sqref="B4"/>
    </sheetView>
  </sheetViews>
  <sheetFormatPr defaultRowHeight="15" x14ac:dyDescent="0.25"/>
  <cols>
    <col min="1" max="1" width="3.42578125" customWidth="1"/>
    <col min="2" max="2" width="61.42578125" bestFit="1" customWidth="1"/>
    <col min="3" max="14" width="18" customWidth="1"/>
  </cols>
  <sheetData>
    <row r="4" spans="2:14" ht="15" customHeight="1" x14ac:dyDescent="0.25">
      <c r="B4" s="3"/>
      <c r="C4" s="72" t="s">
        <v>0</v>
      </c>
      <c r="D4" s="72"/>
      <c r="E4" s="72"/>
      <c r="F4" s="72"/>
      <c r="G4" s="73" t="s">
        <v>1</v>
      </c>
      <c r="H4" s="72"/>
      <c r="I4" s="72"/>
      <c r="J4" s="72"/>
      <c r="K4" s="73" t="s">
        <v>2</v>
      </c>
      <c r="L4" s="72"/>
      <c r="M4" s="72"/>
      <c r="N4" s="72"/>
    </row>
    <row r="5" spans="2:14" ht="15.75" x14ac:dyDescent="0.25">
      <c r="B5" s="4" t="s">
        <v>183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2:14" ht="15.75" x14ac:dyDescent="0.25">
      <c r="B6" s="4" t="s">
        <v>147</v>
      </c>
      <c r="C6" s="46">
        <v>42460</v>
      </c>
      <c r="D6" s="46">
        <v>42551</v>
      </c>
      <c r="E6" s="46">
        <v>42643</v>
      </c>
      <c r="F6" s="46">
        <v>42735</v>
      </c>
      <c r="G6" s="46">
        <v>42825</v>
      </c>
      <c r="H6" s="46">
        <v>42916</v>
      </c>
      <c r="I6" s="46">
        <v>43008</v>
      </c>
      <c r="J6" s="46">
        <v>43100</v>
      </c>
      <c r="K6" s="46">
        <v>43190</v>
      </c>
      <c r="L6" s="46">
        <v>43281</v>
      </c>
      <c r="M6" s="46">
        <v>43373</v>
      </c>
      <c r="N6" s="46">
        <v>43465</v>
      </c>
    </row>
    <row r="7" spans="2:14" ht="15.75" x14ac:dyDescent="0.25">
      <c r="B7" s="5" t="s">
        <v>3</v>
      </c>
    </row>
    <row r="8" spans="2:14" x14ac:dyDescent="0.25">
      <c r="B8" s="1" t="s">
        <v>4</v>
      </c>
    </row>
    <row r="9" spans="2:14" x14ac:dyDescent="0.25">
      <c r="B9" s="2" t="s">
        <v>5</v>
      </c>
      <c r="C9" s="7">
        <v>5779</v>
      </c>
      <c r="D9" s="7">
        <v>5359</v>
      </c>
      <c r="E9" s="7">
        <v>5008</v>
      </c>
      <c r="F9" s="7">
        <v>6946</v>
      </c>
      <c r="G9" s="7">
        <v>5818</v>
      </c>
      <c r="H9" s="7">
        <v>6561</v>
      </c>
      <c r="I9" s="7">
        <v>5788</v>
      </c>
      <c r="J9" s="7">
        <v>9177</v>
      </c>
      <c r="K9" s="7">
        <v>6718</v>
      </c>
      <c r="L9" s="7">
        <v>7053</v>
      </c>
      <c r="M9" s="7">
        <v>6754</v>
      </c>
      <c r="N9" s="7">
        <v>7667</v>
      </c>
    </row>
    <row r="10" spans="2:14" x14ac:dyDescent="0.25">
      <c r="B10" s="2" t="s">
        <v>6</v>
      </c>
      <c r="C10" s="7">
        <v>3110</v>
      </c>
      <c r="D10" s="7">
        <v>2988</v>
      </c>
      <c r="E10" s="7">
        <v>3781</v>
      </c>
      <c r="F10" s="7">
        <v>3190</v>
      </c>
      <c r="G10" s="7">
        <v>3267</v>
      </c>
      <c r="H10" s="7">
        <v>3784</v>
      </c>
      <c r="I10" s="7">
        <v>3830</v>
      </c>
      <c r="J10" s="7">
        <v>3345</v>
      </c>
      <c r="K10" s="7">
        <v>3087</v>
      </c>
      <c r="L10" s="7">
        <v>2849</v>
      </c>
      <c r="M10" s="7">
        <v>3283</v>
      </c>
      <c r="N10" s="7">
        <v>3390</v>
      </c>
    </row>
    <row r="11" spans="2:14" x14ac:dyDescent="0.25">
      <c r="B11" s="2" t="s">
        <v>7</v>
      </c>
      <c r="C11" s="7">
        <v>101</v>
      </c>
      <c r="D11" s="7">
        <v>170</v>
      </c>
      <c r="E11" s="7">
        <v>143</v>
      </c>
      <c r="F11" s="7">
        <v>136</v>
      </c>
      <c r="G11" s="7">
        <v>151</v>
      </c>
      <c r="H11" s="7">
        <v>125</v>
      </c>
      <c r="I11" s="7">
        <v>119</v>
      </c>
      <c r="J11" s="7">
        <v>52</v>
      </c>
      <c r="K11" s="7">
        <v>69</v>
      </c>
      <c r="L11" s="7">
        <v>106</v>
      </c>
      <c r="M11" s="7">
        <v>134</v>
      </c>
      <c r="N11" s="7">
        <v>216</v>
      </c>
    </row>
    <row r="12" spans="2:14" x14ac:dyDescent="0.25">
      <c r="B12" s="2" t="s">
        <v>8</v>
      </c>
      <c r="C12" s="7">
        <v>2353</v>
      </c>
      <c r="D12" s="7">
        <v>2374</v>
      </c>
      <c r="E12" s="7">
        <v>2488</v>
      </c>
      <c r="F12" s="7">
        <v>2001</v>
      </c>
      <c r="G12" s="7">
        <v>2211</v>
      </c>
      <c r="H12" s="7">
        <v>2507</v>
      </c>
      <c r="I12" s="7">
        <v>2761</v>
      </c>
      <c r="J12" s="7">
        <v>2421</v>
      </c>
      <c r="K12" s="7">
        <v>2895</v>
      </c>
      <c r="L12" s="7">
        <v>3188</v>
      </c>
      <c r="M12" s="7">
        <v>3306</v>
      </c>
      <c r="N12" s="7">
        <v>2546</v>
      </c>
    </row>
    <row r="13" spans="2:14" x14ac:dyDescent="0.25">
      <c r="B13" s="2" t="s">
        <v>9</v>
      </c>
      <c r="C13" s="7">
        <v>3996</v>
      </c>
      <c r="D13" s="7">
        <v>3666</v>
      </c>
      <c r="E13" s="7">
        <v>3739</v>
      </c>
      <c r="F13" s="7">
        <v>3381</v>
      </c>
      <c r="G13" s="7">
        <v>3397</v>
      </c>
      <c r="H13" s="7">
        <v>3328</v>
      </c>
      <c r="I13" s="7">
        <v>3270</v>
      </c>
      <c r="J13" s="7">
        <v>3526</v>
      </c>
      <c r="K13" s="7">
        <v>3754</v>
      </c>
      <c r="L13" s="7">
        <v>4046</v>
      </c>
      <c r="M13" s="7">
        <v>4108</v>
      </c>
      <c r="N13" s="7">
        <v>3814</v>
      </c>
    </row>
    <row r="14" spans="2:14" x14ac:dyDescent="0.25">
      <c r="B14" s="2" t="s">
        <v>10</v>
      </c>
      <c r="C14" s="7">
        <v>1469</v>
      </c>
      <c r="D14" s="7">
        <v>1430</v>
      </c>
      <c r="E14" s="7">
        <v>1374</v>
      </c>
      <c r="F14" s="7">
        <v>1527</v>
      </c>
      <c r="G14" s="7">
        <v>1275</v>
      </c>
      <c r="H14" s="7">
        <v>1234</v>
      </c>
      <c r="I14" s="7">
        <v>1316</v>
      </c>
      <c r="J14" s="7">
        <v>1317</v>
      </c>
      <c r="K14" s="7">
        <v>1275</v>
      </c>
      <c r="L14" s="7">
        <v>1447</v>
      </c>
      <c r="M14" s="7">
        <v>1618</v>
      </c>
      <c r="N14" s="7">
        <v>1473</v>
      </c>
    </row>
    <row r="15" spans="2:14" x14ac:dyDescent="0.25">
      <c r="B15" s="2" t="s">
        <v>11</v>
      </c>
      <c r="C15" s="7">
        <v>123</v>
      </c>
      <c r="D15" s="7">
        <v>9</v>
      </c>
      <c r="E15" s="7">
        <v>4</v>
      </c>
      <c r="F15" s="7">
        <v>180</v>
      </c>
      <c r="G15" s="7">
        <v>179</v>
      </c>
      <c r="H15" s="7">
        <v>26</v>
      </c>
      <c r="I15" s="7">
        <v>17</v>
      </c>
      <c r="J15" s="7">
        <v>148</v>
      </c>
      <c r="K15" s="7">
        <v>137</v>
      </c>
      <c r="L15" s="7">
        <v>1</v>
      </c>
      <c r="M15" s="7">
        <v>1</v>
      </c>
      <c r="N15" s="7">
        <v>14</v>
      </c>
    </row>
    <row r="16" spans="2:14" x14ac:dyDescent="0.25">
      <c r="B16" s="2" t="s">
        <v>12</v>
      </c>
      <c r="C16" s="7">
        <v>313</v>
      </c>
      <c r="D16" s="7">
        <v>305</v>
      </c>
      <c r="E16" s="7">
        <v>312</v>
      </c>
      <c r="F16" s="7">
        <v>317</v>
      </c>
      <c r="G16" s="7">
        <v>251</v>
      </c>
      <c r="H16" s="7">
        <v>237</v>
      </c>
      <c r="I16" s="7">
        <v>260</v>
      </c>
      <c r="J16" s="7">
        <v>210</v>
      </c>
      <c r="K16" s="7">
        <v>158</v>
      </c>
      <c r="L16" s="7">
        <v>159</v>
      </c>
      <c r="M16" s="7">
        <v>184</v>
      </c>
      <c r="N16" s="7">
        <v>202</v>
      </c>
    </row>
    <row r="17" spans="2:14" x14ac:dyDescent="0.25">
      <c r="B17" s="2" t="s">
        <v>13</v>
      </c>
      <c r="C17" s="8">
        <v>727</v>
      </c>
      <c r="D17" s="8">
        <v>551</v>
      </c>
      <c r="E17" s="8">
        <v>489</v>
      </c>
      <c r="F17" s="8">
        <v>580</v>
      </c>
      <c r="G17" s="8">
        <v>552</v>
      </c>
      <c r="H17" s="8">
        <v>507</v>
      </c>
      <c r="I17" s="8">
        <v>494</v>
      </c>
      <c r="J17" s="8">
        <v>784</v>
      </c>
      <c r="K17" s="8">
        <v>745</v>
      </c>
      <c r="L17" s="8">
        <v>534</v>
      </c>
      <c r="M17" s="8">
        <v>667</v>
      </c>
      <c r="N17" s="8">
        <v>564</v>
      </c>
    </row>
    <row r="18" spans="2:14" x14ac:dyDescent="0.25">
      <c r="B18" s="2"/>
      <c r="C18" s="9">
        <f t="shared" ref="C18:N18" si="0">SUM(C9:C17)</f>
        <v>17971</v>
      </c>
      <c r="D18" s="9">
        <f t="shared" si="0"/>
        <v>16852</v>
      </c>
      <c r="E18" s="9">
        <f t="shared" si="0"/>
        <v>17338</v>
      </c>
      <c r="F18" s="9">
        <f t="shared" si="0"/>
        <v>18258</v>
      </c>
      <c r="G18" s="9">
        <f t="shared" si="0"/>
        <v>17101</v>
      </c>
      <c r="H18" s="9">
        <f t="shared" si="0"/>
        <v>18309</v>
      </c>
      <c r="I18" s="9">
        <f t="shared" si="0"/>
        <v>17855</v>
      </c>
      <c r="J18" s="9">
        <f t="shared" si="0"/>
        <v>20980</v>
      </c>
      <c r="K18" s="9">
        <f t="shared" si="0"/>
        <v>18838</v>
      </c>
      <c r="L18" s="9">
        <f t="shared" si="0"/>
        <v>19383</v>
      </c>
      <c r="M18" s="9">
        <f t="shared" si="0"/>
        <v>20055</v>
      </c>
      <c r="N18" s="9">
        <f t="shared" si="0"/>
        <v>19886</v>
      </c>
    </row>
    <row r="19" spans="2:14" x14ac:dyDescent="0.25">
      <c r="B19" s="2" t="s">
        <v>14</v>
      </c>
      <c r="C19" s="8">
        <v>34</v>
      </c>
      <c r="D19" s="8">
        <v>35</v>
      </c>
      <c r="E19" s="8">
        <v>46</v>
      </c>
      <c r="F19" s="7">
        <v>2125</v>
      </c>
      <c r="G19" s="7">
        <v>2125</v>
      </c>
      <c r="H19" s="7">
        <v>2125</v>
      </c>
      <c r="I19" s="7">
        <v>2984</v>
      </c>
      <c r="J19" s="7">
        <v>2199</v>
      </c>
      <c r="K19" s="7">
        <v>6499</v>
      </c>
      <c r="L19" s="7">
        <v>4245</v>
      </c>
      <c r="M19" s="7">
        <v>4358</v>
      </c>
      <c r="N19" s="7">
        <v>4527</v>
      </c>
    </row>
    <row r="20" spans="2:14" s="16" customFormat="1" x14ac:dyDescent="0.25">
      <c r="B20" s="1"/>
      <c r="C20" s="14">
        <f t="shared" ref="C20:N20" si="1">SUM(C18:C19)</f>
        <v>18005</v>
      </c>
      <c r="D20" s="14">
        <f t="shared" si="1"/>
        <v>16887</v>
      </c>
      <c r="E20" s="14">
        <f t="shared" si="1"/>
        <v>17384</v>
      </c>
      <c r="F20" s="14">
        <f t="shared" si="1"/>
        <v>20383</v>
      </c>
      <c r="G20" s="14">
        <f t="shared" si="1"/>
        <v>19226</v>
      </c>
      <c r="H20" s="14">
        <f t="shared" si="1"/>
        <v>20434</v>
      </c>
      <c r="I20" s="14">
        <f t="shared" si="1"/>
        <v>20839</v>
      </c>
      <c r="J20" s="14">
        <f t="shared" si="1"/>
        <v>23179</v>
      </c>
      <c r="K20" s="14">
        <f t="shared" si="1"/>
        <v>25337</v>
      </c>
      <c r="L20" s="14">
        <f t="shared" si="1"/>
        <v>23628</v>
      </c>
      <c r="M20" s="14">
        <f t="shared" si="1"/>
        <v>24413</v>
      </c>
      <c r="N20" s="14">
        <f t="shared" si="1"/>
        <v>24413</v>
      </c>
    </row>
    <row r="21" spans="2:14" x14ac:dyDescent="0.25">
      <c r="B21" s="1" t="s">
        <v>15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2:14" x14ac:dyDescent="0.25">
      <c r="B22" s="2" t="s">
        <v>16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2:14" x14ac:dyDescent="0.25">
      <c r="B23" s="2" t="s">
        <v>6</v>
      </c>
      <c r="C23" s="7">
        <v>37</v>
      </c>
      <c r="D23" s="7">
        <v>38</v>
      </c>
      <c r="E23" s="7">
        <v>38</v>
      </c>
      <c r="F23" s="7">
        <v>39</v>
      </c>
      <c r="G23" s="7">
        <v>40</v>
      </c>
      <c r="H23" s="7">
        <v>40</v>
      </c>
      <c r="I23" s="7">
        <v>18</v>
      </c>
      <c r="J23" s="7">
        <v>25</v>
      </c>
      <c r="K23" s="7">
        <v>19</v>
      </c>
      <c r="L23" s="7">
        <v>22</v>
      </c>
      <c r="M23" s="7">
        <v>22</v>
      </c>
      <c r="N23" s="7">
        <v>23</v>
      </c>
    </row>
    <row r="24" spans="2:14" x14ac:dyDescent="0.25">
      <c r="B24" s="37" t="s">
        <v>137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29</v>
      </c>
      <c r="L24" s="7">
        <v>0</v>
      </c>
      <c r="M24" s="7">
        <v>0</v>
      </c>
      <c r="N24" s="7">
        <v>0</v>
      </c>
    </row>
    <row r="25" spans="2:14" x14ac:dyDescent="0.25">
      <c r="B25" s="2" t="s">
        <v>7</v>
      </c>
      <c r="C25" s="7">
        <v>280</v>
      </c>
      <c r="D25" s="7">
        <v>426</v>
      </c>
      <c r="E25" s="7">
        <v>429</v>
      </c>
      <c r="F25" s="7">
        <v>232</v>
      </c>
      <c r="G25" s="7">
        <v>136</v>
      </c>
      <c r="H25" s="7">
        <v>215</v>
      </c>
      <c r="I25" s="7">
        <v>118</v>
      </c>
      <c r="J25" s="7">
        <v>138</v>
      </c>
      <c r="K25" s="7">
        <v>149</v>
      </c>
      <c r="L25" s="7">
        <v>302</v>
      </c>
      <c r="M25" s="7">
        <v>380</v>
      </c>
      <c r="N25" s="7">
        <v>256</v>
      </c>
    </row>
    <row r="26" spans="2:14" x14ac:dyDescent="0.25">
      <c r="B26" s="2" t="s">
        <v>20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764</v>
      </c>
      <c r="M26" s="7">
        <v>759</v>
      </c>
      <c r="N26" s="7">
        <v>744</v>
      </c>
    </row>
    <row r="27" spans="2:14" x14ac:dyDescent="0.25">
      <c r="B27" s="2" t="s">
        <v>10</v>
      </c>
      <c r="C27" s="7">
        <v>1775</v>
      </c>
      <c r="D27" s="7">
        <v>1711</v>
      </c>
      <c r="E27" s="7">
        <v>1732</v>
      </c>
      <c r="F27" s="7">
        <v>1586</v>
      </c>
      <c r="G27" s="7">
        <v>1799</v>
      </c>
      <c r="H27" s="7">
        <v>1771</v>
      </c>
      <c r="I27" s="7">
        <v>1666</v>
      </c>
      <c r="J27" s="7">
        <v>1784</v>
      </c>
      <c r="K27" s="7">
        <v>1746</v>
      </c>
      <c r="L27" s="7">
        <v>1694</v>
      </c>
      <c r="M27" s="7">
        <v>1750</v>
      </c>
      <c r="N27" s="7">
        <v>2731</v>
      </c>
    </row>
    <row r="28" spans="2:14" x14ac:dyDescent="0.25">
      <c r="B28" s="2" t="s">
        <v>19</v>
      </c>
      <c r="C28" s="7">
        <v>1076</v>
      </c>
      <c r="D28" s="7">
        <v>1121</v>
      </c>
      <c r="E28" s="7">
        <v>1081</v>
      </c>
      <c r="F28" s="7">
        <v>535</v>
      </c>
      <c r="G28" s="7">
        <v>524</v>
      </c>
      <c r="H28" s="7">
        <v>194</v>
      </c>
      <c r="I28" s="7">
        <v>129</v>
      </c>
      <c r="J28" s="7">
        <v>143</v>
      </c>
      <c r="K28" s="7">
        <v>225</v>
      </c>
      <c r="L28" s="7">
        <v>319</v>
      </c>
      <c r="M28" s="7">
        <v>311</v>
      </c>
      <c r="N28" s="7">
        <v>271</v>
      </c>
    </row>
    <row r="29" spans="2:14" x14ac:dyDescent="0.25">
      <c r="B29" s="2" t="s">
        <v>18</v>
      </c>
      <c r="C29" s="7">
        <v>3665</v>
      </c>
      <c r="D29" s="7">
        <v>3201</v>
      </c>
      <c r="E29" s="7">
        <v>3370</v>
      </c>
      <c r="F29" s="7">
        <v>4055</v>
      </c>
      <c r="G29" s="7">
        <v>3925</v>
      </c>
      <c r="H29" s="7">
        <v>4196</v>
      </c>
      <c r="I29" s="7">
        <v>4104</v>
      </c>
      <c r="J29" s="7">
        <v>4079</v>
      </c>
      <c r="K29" s="7">
        <v>4012</v>
      </c>
      <c r="L29" s="7">
        <v>4614</v>
      </c>
      <c r="M29" s="7">
        <v>4775</v>
      </c>
      <c r="N29" s="7">
        <v>4079</v>
      </c>
    </row>
    <row r="30" spans="2:14" x14ac:dyDescent="0.25">
      <c r="B30" s="2" t="s">
        <v>17</v>
      </c>
      <c r="C30" s="7">
        <v>410</v>
      </c>
      <c r="D30" s="7">
        <v>434</v>
      </c>
      <c r="E30" s="7">
        <v>442</v>
      </c>
      <c r="F30" s="7">
        <v>420</v>
      </c>
      <c r="G30" s="7">
        <v>341</v>
      </c>
      <c r="H30" s="7">
        <v>805</v>
      </c>
      <c r="I30" s="7">
        <v>825</v>
      </c>
      <c r="J30" s="7">
        <v>765</v>
      </c>
      <c r="K30" s="7">
        <v>882</v>
      </c>
      <c r="L30" s="7">
        <v>853</v>
      </c>
      <c r="M30" s="7">
        <v>862</v>
      </c>
      <c r="N30" s="7">
        <v>755</v>
      </c>
    </row>
    <row r="31" spans="2:14" x14ac:dyDescent="0.25">
      <c r="B31" s="2" t="s">
        <v>12</v>
      </c>
      <c r="C31" s="7">
        <v>578</v>
      </c>
      <c r="D31" s="7">
        <v>579</v>
      </c>
      <c r="E31" s="7">
        <v>435</v>
      </c>
      <c r="F31" s="7">
        <v>371</v>
      </c>
      <c r="G31" s="7">
        <v>220</v>
      </c>
      <c r="H31" s="7">
        <v>155</v>
      </c>
      <c r="I31" s="7">
        <v>127</v>
      </c>
      <c r="J31" s="7">
        <v>154</v>
      </c>
      <c r="K31" s="7">
        <v>100</v>
      </c>
      <c r="L31" s="7">
        <v>72</v>
      </c>
      <c r="M31" s="7">
        <v>36</v>
      </c>
      <c r="N31" s="7">
        <v>0</v>
      </c>
    </row>
    <row r="32" spans="2:14" x14ac:dyDescent="0.25">
      <c r="B32" s="2" t="s">
        <v>13</v>
      </c>
      <c r="C32" s="8">
        <v>648</v>
      </c>
      <c r="D32" s="8">
        <v>748</v>
      </c>
      <c r="E32" s="8">
        <v>784</v>
      </c>
      <c r="F32" s="8">
        <v>858</v>
      </c>
      <c r="G32" s="8">
        <v>697</v>
      </c>
      <c r="H32" s="8">
        <v>883</v>
      </c>
      <c r="I32" s="8">
        <v>734</v>
      </c>
      <c r="J32" s="8">
        <v>667</v>
      </c>
      <c r="K32" s="8">
        <v>738</v>
      </c>
      <c r="L32" s="8">
        <v>746</v>
      </c>
      <c r="M32" s="8">
        <v>671</v>
      </c>
      <c r="N32" s="8">
        <v>685</v>
      </c>
    </row>
    <row r="33" spans="2:14" s="16" customFormat="1" x14ac:dyDescent="0.25">
      <c r="B33" s="1"/>
      <c r="C33" s="13">
        <f t="shared" ref="C33:N33" si="2">SUM(C23:C32)</f>
        <v>8469</v>
      </c>
      <c r="D33" s="13">
        <f t="shared" si="2"/>
        <v>8258</v>
      </c>
      <c r="E33" s="13">
        <f t="shared" si="2"/>
        <v>8311</v>
      </c>
      <c r="F33" s="13">
        <f t="shared" si="2"/>
        <v>8096</v>
      </c>
      <c r="G33" s="13">
        <f t="shared" si="2"/>
        <v>7682</v>
      </c>
      <c r="H33" s="13">
        <f t="shared" si="2"/>
        <v>8259</v>
      </c>
      <c r="I33" s="13">
        <f t="shared" si="2"/>
        <v>7721</v>
      </c>
      <c r="J33" s="13">
        <f t="shared" si="2"/>
        <v>7755</v>
      </c>
      <c r="K33" s="13">
        <f t="shared" si="2"/>
        <v>7900</v>
      </c>
      <c r="L33" s="13">
        <f t="shared" si="2"/>
        <v>9386</v>
      </c>
      <c r="M33" s="13">
        <f t="shared" si="2"/>
        <v>9566</v>
      </c>
      <c r="N33" s="13">
        <f t="shared" si="2"/>
        <v>9544</v>
      </c>
    </row>
    <row r="34" spans="2:14" x14ac:dyDescent="0.25">
      <c r="B34" s="2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4" x14ac:dyDescent="0.25">
      <c r="B35" s="2" t="s">
        <v>21</v>
      </c>
      <c r="C35" s="7">
        <v>13063</v>
      </c>
      <c r="D35" s="7">
        <v>12851</v>
      </c>
      <c r="E35" s="7">
        <v>13062</v>
      </c>
      <c r="F35" s="7">
        <v>12949</v>
      </c>
      <c r="G35" s="7">
        <v>13059</v>
      </c>
      <c r="H35" s="7">
        <v>13446</v>
      </c>
      <c r="I35" s="7">
        <v>13575</v>
      </c>
      <c r="J35" s="7">
        <v>13372</v>
      </c>
      <c r="K35" s="7">
        <v>9076</v>
      </c>
      <c r="L35" s="7">
        <v>10105</v>
      </c>
      <c r="M35" s="7">
        <v>10105</v>
      </c>
      <c r="N35" s="7">
        <v>10882</v>
      </c>
    </row>
    <row r="36" spans="2:14" x14ac:dyDescent="0.25">
      <c r="B36" s="2" t="s">
        <v>22</v>
      </c>
      <c r="C36" s="7">
        <v>28524</v>
      </c>
      <c r="D36" s="7">
        <v>27545</v>
      </c>
      <c r="E36" s="7">
        <v>27845</v>
      </c>
      <c r="F36" s="7">
        <v>25091</v>
      </c>
      <c r="G36" s="7">
        <v>24903</v>
      </c>
      <c r="H36" s="7">
        <v>25438</v>
      </c>
      <c r="I36" s="7">
        <v>25161</v>
      </c>
      <c r="J36" s="7">
        <v>25855</v>
      </c>
      <c r="K36" s="7">
        <v>25810</v>
      </c>
      <c r="L36" s="7">
        <v>25629</v>
      </c>
      <c r="M36" s="7">
        <v>26119</v>
      </c>
      <c r="N36" s="7">
        <v>26180</v>
      </c>
    </row>
    <row r="37" spans="2:14" x14ac:dyDescent="0.25">
      <c r="B37" s="2" t="s">
        <v>23</v>
      </c>
      <c r="C37" s="7">
        <v>14671</v>
      </c>
      <c r="D37" s="7">
        <v>13482</v>
      </c>
      <c r="E37" s="7">
        <v>13424</v>
      </c>
      <c r="F37" s="7">
        <v>13013</v>
      </c>
      <c r="G37" s="7">
        <v>12577</v>
      </c>
      <c r="H37" s="7">
        <v>13047</v>
      </c>
      <c r="I37" s="7">
        <v>12067</v>
      </c>
      <c r="J37" s="7">
        <v>12443</v>
      </c>
      <c r="K37" s="7">
        <v>12379</v>
      </c>
      <c r="L37" s="7">
        <v>13764</v>
      </c>
      <c r="M37" s="7">
        <v>13852</v>
      </c>
      <c r="N37" s="7">
        <v>13341</v>
      </c>
    </row>
    <row r="38" spans="2:14" x14ac:dyDescent="0.25">
      <c r="B38" s="2" t="s">
        <v>24</v>
      </c>
      <c r="C38" s="8">
        <v>135</v>
      </c>
      <c r="D38" s="8">
        <v>132</v>
      </c>
      <c r="E38" s="8">
        <v>132</v>
      </c>
      <c r="F38" s="8">
        <v>66</v>
      </c>
      <c r="G38" s="8">
        <v>66</v>
      </c>
      <c r="H38" s="8">
        <v>64</v>
      </c>
      <c r="I38" s="8">
        <v>68</v>
      </c>
      <c r="J38" s="8">
        <v>65</v>
      </c>
      <c r="K38" s="8">
        <v>65</v>
      </c>
      <c r="L38" s="8">
        <v>66</v>
      </c>
      <c r="M38" s="8">
        <v>66</v>
      </c>
      <c r="N38" s="8">
        <v>74</v>
      </c>
    </row>
    <row r="39" spans="2:14" s="16" customFormat="1" x14ac:dyDescent="0.25">
      <c r="B39" s="1"/>
      <c r="C39" s="14">
        <f t="shared" ref="C39:N39" si="3">SUM(C33:C38)</f>
        <v>64862</v>
      </c>
      <c r="D39" s="14">
        <f t="shared" si="3"/>
        <v>62268</v>
      </c>
      <c r="E39" s="14">
        <f t="shared" si="3"/>
        <v>62774</v>
      </c>
      <c r="F39" s="14">
        <f t="shared" si="3"/>
        <v>59215</v>
      </c>
      <c r="G39" s="14">
        <f t="shared" si="3"/>
        <v>58287</v>
      </c>
      <c r="H39" s="14">
        <f t="shared" si="3"/>
        <v>60254</v>
      </c>
      <c r="I39" s="14">
        <f t="shared" si="3"/>
        <v>58592</v>
      </c>
      <c r="J39" s="14">
        <f t="shared" si="3"/>
        <v>59490</v>
      </c>
      <c r="K39" s="14">
        <f t="shared" si="3"/>
        <v>55230</v>
      </c>
      <c r="L39" s="14">
        <f t="shared" si="3"/>
        <v>58950</v>
      </c>
      <c r="M39" s="14">
        <f t="shared" si="3"/>
        <v>59708</v>
      </c>
      <c r="N39" s="14">
        <f t="shared" si="3"/>
        <v>60021</v>
      </c>
    </row>
    <row r="40" spans="2:14" x14ac:dyDescent="0.25">
      <c r="B40" s="1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2:14" s="16" customFormat="1" ht="15.75" thickBot="1" x14ac:dyDescent="0.3">
      <c r="B41" s="1" t="s">
        <v>25</v>
      </c>
      <c r="C41" s="15">
        <f t="shared" ref="C41:N41" si="4">C20+C39</f>
        <v>82867</v>
      </c>
      <c r="D41" s="15">
        <f t="shared" si="4"/>
        <v>79155</v>
      </c>
      <c r="E41" s="15">
        <f t="shared" si="4"/>
        <v>80158</v>
      </c>
      <c r="F41" s="15">
        <f t="shared" si="4"/>
        <v>79598</v>
      </c>
      <c r="G41" s="15">
        <f t="shared" si="4"/>
        <v>77513</v>
      </c>
      <c r="H41" s="15">
        <f t="shared" si="4"/>
        <v>80688</v>
      </c>
      <c r="I41" s="15">
        <f t="shared" si="4"/>
        <v>79431</v>
      </c>
      <c r="J41" s="15">
        <f t="shared" si="4"/>
        <v>82669</v>
      </c>
      <c r="K41" s="15">
        <f t="shared" si="4"/>
        <v>80567</v>
      </c>
      <c r="L41" s="15">
        <f t="shared" si="4"/>
        <v>82578</v>
      </c>
      <c r="M41" s="15">
        <f t="shared" si="4"/>
        <v>84121</v>
      </c>
      <c r="N41" s="15">
        <f t="shared" si="4"/>
        <v>84434</v>
      </c>
    </row>
    <row r="42" spans="2:14" ht="15.75" thickTop="1" x14ac:dyDescent="0.25">
      <c r="B42" s="2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2:14" ht="15.75" x14ac:dyDescent="0.25">
      <c r="B43" s="5" t="s">
        <v>26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2:14" x14ac:dyDescent="0.25">
      <c r="B44" s="1" t="s">
        <v>27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2:14" x14ac:dyDescent="0.25">
      <c r="B45" s="2" t="s">
        <v>28</v>
      </c>
      <c r="C45" s="7">
        <v>2447</v>
      </c>
      <c r="D45" s="7">
        <v>1942</v>
      </c>
      <c r="E45" s="7">
        <v>1483</v>
      </c>
      <c r="F45" s="7">
        <v>1772</v>
      </c>
      <c r="G45" s="7">
        <v>1721</v>
      </c>
      <c r="H45" s="7">
        <v>1845</v>
      </c>
      <c r="I45" s="7">
        <v>2156</v>
      </c>
      <c r="J45" s="7">
        <v>2573</v>
      </c>
      <c r="K45" s="7">
        <v>2197</v>
      </c>
      <c r="L45" s="7">
        <v>1232</v>
      </c>
      <c r="M45" s="7">
        <v>2593</v>
      </c>
      <c r="N45" s="7">
        <v>5291</v>
      </c>
    </row>
    <row r="46" spans="2:14" x14ac:dyDescent="0.25">
      <c r="B46" s="2" t="s">
        <v>7</v>
      </c>
      <c r="C46" s="7">
        <v>415</v>
      </c>
      <c r="D46" s="7">
        <v>520</v>
      </c>
      <c r="E46" s="7">
        <v>495</v>
      </c>
      <c r="F46" s="7">
        <v>401</v>
      </c>
      <c r="G46" s="7">
        <v>484</v>
      </c>
      <c r="H46" s="7">
        <v>407</v>
      </c>
      <c r="I46" s="7">
        <v>385</v>
      </c>
      <c r="J46" s="7">
        <v>299</v>
      </c>
      <c r="K46" s="7">
        <v>50</v>
      </c>
      <c r="L46" s="7">
        <v>252</v>
      </c>
      <c r="M46" s="7">
        <v>278</v>
      </c>
      <c r="N46" s="7">
        <v>166</v>
      </c>
    </row>
    <row r="47" spans="2:14" x14ac:dyDescent="0.25">
      <c r="B47" s="2" t="s">
        <v>29</v>
      </c>
      <c r="C47" s="7">
        <v>966</v>
      </c>
      <c r="D47" s="7">
        <v>784</v>
      </c>
      <c r="E47" s="7">
        <v>914</v>
      </c>
      <c r="F47" s="7">
        <v>968</v>
      </c>
      <c r="G47" s="7">
        <v>1009</v>
      </c>
      <c r="H47" s="7">
        <v>899</v>
      </c>
      <c r="I47" s="7">
        <v>769</v>
      </c>
      <c r="J47" s="7">
        <v>1070</v>
      </c>
      <c r="K47" s="7">
        <v>1253</v>
      </c>
      <c r="L47" s="7">
        <v>990</v>
      </c>
      <c r="M47" s="7">
        <v>1029</v>
      </c>
      <c r="N47" s="7">
        <v>1187</v>
      </c>
    </row>
    <row r="48" spans="2:14" x14ac:dyDescent="0.25">
      <c r="B48" s="2" t="s">
        <v>30</v>
      </c>
      <c r="C48" s="7">
        <v>2989</v>
      </c>
      <c r="D48" s="7">
        <v>2879</v>
      </c>
      <c r="E48" s="7">
        <v>2727</v>
      </c>
      <c r="F48" s="7">
        <v>2726</v>
      </c>
      <c r="G48" s="7">
        <v>2307</v>
      </c>
      <c r="H48" s="7">
        <v>2806</v>
      </c>
      <c r="I48" s="7">
        <v>2819</v>
      </c>
      <c r="J48" s="7">
        <v>3353</v>
      </c>
      <c r="K48" s="7">
        <v>3170</v>
      </c>
      <c r="L48" s="7">
        <v>3963</v>
      </c>
      <c r="M48" s="7">
        <v>4156</v>
      </c>
      <c r="N48" s="7">
        <v>4262</v>
      </c>
    </row>
    <row r="49" spans="2:14" x14ac:dyDescent="0.25">
      <c r="B49" s="2" t="s">
        <v>31</v>
      </c>
      <c r="C49" s="7">
        <v>663</v>
      </c>
      <c r="D49" s="7">
        <v>727</v>
      </c>
      <c r="E49" s="7">
        <v>863</v>
      </c>
      <c r="F49" s="7">
        <v>848</v>
      </c>
      <c r="G49" s="7">
        <v>539</v>
      </c>
      <c r="H49" s="7">
        <v>663</v>
      </c>
      <c r="I49" s="7">
        <v>810</v>
      </c>
      <c r="J49" s="7">
        <v>895</v>
      </c>
      <c r="K49" s="7">
        <v>555</v>
      </c>
      <c r="L49" s="7">
        <v>742</v>
      </c>
      <c r="M49" s="7">
        <v>887</v>
      </c>
      <c r="N49" s="7">
        <v>845</v>
      </c>
    </row>
    <row r="50" spans="2:14" x14ac:dyDescent="0.25">
      <c r="B50" s="2" t="s">
        <v>32</v>
      </c>
      <c r="C50" s="7">
        <v>427</v>
      </c>
      <c r="D50" s="7">
        <v>448</v>
      </c>
      <c r="E50" s="7">
        <v>472</v>
      </c>
      <c r="F50" s="7">
        <v>422</v>
      </c>
      <c r="G50" s="7">
        <v>445</v>
      </c>
      <c r="H50" s="7">
        <v>465</v>
      </c>
      <c r="I50" s="7">
        <v>535</v>
      </c>
      <c r="J50" s="7">
        <v>617</v>
      </c>
      <c r="K50" s="7">
        <v>411</v>
      </c>
      <c r="L50" s="7">
        <v>465</v>
      </c>
      <c r="M50" s="7">
        <v>535</v>
      </c>
      <c r="N50" s="7">
        <v>490</v>
      </c>
    </row>
    <row r="51" spans="2:14" x14ac:dyDescent="0.25">
      <c r="B51" s="2" t="s">
        <v>33</v>
      </c>
      <c r="C51" s="7">
        <v>222</v>
      </c>
      <c r="D51" s="7">
        <v>179</v>
      </c>
      <c r="E51" s="7">
        <v>179</v>
      </c>
      <c r="F51" s="7">
        <v>174</v>
      </c>
      <c r="G51" s="7">
        <v>186</v>
      </c>
      <c r="H51" s="7">
        <v>179</v>
      </c>
      <c r="I51" s="7">
        <v>190</v>
      </c>
      <c r="J51" s="7">
        <v>408</v>
      </c>
      <c r="K51" s="7">
        <v>395</v>
      </c>
      <c r="L51" s="7">
        <v>236</v>
      </c>
      <c r="M51" s="7">
        <v>231</v>
      </c>
      <c r="N51" s="7">
        <v>128</v>
      </c>
    </row>
    <row r="52" spans="2:14" x14ac:dyDescent="0.25">
      <c r="B52" s="2" t="s">
        <v>34</v>
      </c>
      <c r="C52" s="7">
        <v>197</v>
      </c>
      <c r="D52" s="7">
        <v>59</v>
      </c>
      <c r="E52" s="7">
        <v>54</v>
      </c>
      <c r="F52" s="7">
        <v>48</v>
      </c>
      <c r="G52" s="7">
        <v>57</v>
      </c>
      <c r="H52" s="7">
        <v>51</v>
      </c>
      <c r="I52" s="7">
        <v>238</v>
      </c>
      <c r="J52" s="7">
        <v>188</v>
      </c>
      <c r="K52" s="7">
        <v>680</v>
      </c>
      <c r="L52" s="7">
        <v>63</v>
      </c>
      <c r="M52" s="7">
        <v>51</v>
      </c>
      <c r="N52" s="7">
        <v>482</v>
      </c>
    </row>
    <row r="53" spans="2:14" x14ac:dyDescent="0.25">
      <c r="B53" s="2" t="s">
        <v>35</v>
      </c>
      <c r="C53" s="7">
        <v>62</v>
      </c>
      <c r="D53" s="7">
        <v>63</v>
      </c>
      <c r="E53" s="7">
        <v>64</v>
      </c>
      <c r="F53" s="7">
        <v>67</v>
      </c>
      <c r="G53" s="7">
        <v>68</v>
      </c>
      <c r="H53" s="7">
        <v>69</v>
      </c>
      <c r="I53" s="7">
        <v>67</v>
      </c>
      <c r="J53" s="7">
        <v>76</v>
      </c>
      <c r="K53" s="7">
        <v>76</v>
      </c>
      <c r="L53" s="7">
        <v>77</v>
      </c>
      <c r="M53" s="7">
        <v>78</v>
      </c>
      <c r="N53" s="7">
        <v>83</v>
      </c>
    </row>
    <row r="54" spans="2:14" x14ac:dyDescent="0.25">
      <c r="B54" s="2" t="s">
        <v>12</v>
      </c>
      <c r="C54" s="7">
        <v>0</v>
      </c>
      <c r="D54" s="7">
        <v>8</v>
      </c>
      <c r="E54" s="7">
        <v>8</v>
      </c>
      <c r="F54" s="7">
        <v>0</v>
      </c>
      <c r="G54" s="7">
        <v>0</v>
      </c>
      <c r="H54" s="7">
        <v>0</v>
      </c>
      <c r="I54" s="7">
        <v>0</v>
      </c>
      <c r="J54" s="7">
        <v>1</v>
      </c>
      <c r="K54" s="7">
        <v>1</v>
      </c>
      <c r="L54" s="7">
        <v>5</v>
      </c>
      <c r="M54" s="7">
        <v>8</v>
      </c>
      <c r="N54" s="7">
        <v>19</v>
      </c>
    </row>
    <row r="55" spans="2:14" x14ac:dyDescent="0.25">
      <c r="B55" s="2" t="s">
        <v>36</v>
      </c>
      <c r="C55" s="7">
        <v>0</v>
      </c>
      <c r="D55" s="7">
        <v>0</v>
      </c>
      <c r="E55" s="7">
        <v>249</v>
      </c>
      <c r="F55" s="7">
        <v>244</v>
      </c>
      <c r="G55" s="7">
        <v>244</v>
      </c>
      <c r="H55" s="7">
        <v>243</v>
      </c>
      <c r="I55" s="7">
        <v>242</v>
      </c>
      <c r="J55" s="7">
        <v>246</v>
      </c>
      <c r="K55" s="7">
        <v>247</v>
      </c>
      <c r="L55" s="7">
        <v>245</v>
      </c>
      <c r="M55" s="7">
        <v>251</v>
      </c>
      <c r="N55" s="7">
        <v>242</v>
      </c>
    </row>
    <row r="56" spans="2:14" x14ac:dyDescent="0.25">
      <c r="B56" s="2" t="s">
        <v>37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97</v>
      </c>
      <c r="J56" s="7">
        <v>104</v>
      </c>
      <c r="K56" s="7">
        <v>92</v>
      </c>
      <c r="L56" s="7">
        <v>116</v>
      </c>
      <c r="M56" s="7">
        <v>124</v>
      </c>
      <c r="N56" s="7">
        <v>124</v>
      </c>
    </row>
    <row r="57" spans="2:14" x14ac:dyDescent="0.25">
      <c r="B57" s="2" t="s">
        <v>38</v>
      </c>
      <c r="C57" s="8">
        <v>799</v>
      </c>
      <c r="D57" s="8">
        <v>886</v>
      </c>
      <c r="E57" s="8">
        <v>587</v>
      </c>
      <c r="F57" s="8">
        <v>795</v>
      </c>
      <c r="G57" s="8">
        <v>647</v>
      </c>
      <c r="H57" s="8">
        <v>686</v>
      </c>
      <c r="I57" s="8">
        <v>573</v>
      </c>
      <c r="J57" s="8">
        <v>643</v>
      </c>
      <c r="K57" s="8">
        <v>641</v>
      </c>
      <c r="L57" s="8">
        <v>681</v>
      </c>
      <c r="M57" s="8">
        <v>737</v>
      </c>
      <c r="N57" s="8">
        <v>808</v>
      </c>
    </row>
    <row r="58" spans="2:14" s="16" customFormat="1" x14ac:dyDescent="0.25">
      <c r="B58" s="1"/>
      <c r="C58" s="13">
        <f t="shared" ref="C58:N58" si="5">SUM(C45:C57)</f>
        <v>9187</v>
      </c>
      <c r="D58" s="13">
        <f t="shared" si="5"/>
        <v>8495</v>
      </c>
      <c r="E58" s="13">
        <f t="shared" si="5"/>
        <v>8095</v>
      </c>
      <c r="F58" s="13">
        <f t="shared" si="5"/>
        <v>8465</v>
      </c>
      <c r="G58" s="13">
        <f t="shared" si="5"/>
        <v>7707</v>
      </c>
      <c r="H58" s="13">
        <f t="shared" si="5"/>
        <v>8313</v>
      </c>
      <c r="I58" s="13">
        <f t="shared" si="5"/>
        <v>8881</v>
      </c>
      <c r="J58" s="13">
        <f t="shared" si="5"/>
        <v>10473</v>
      </c>
      <c r="K58" s="13">
        <f t="shared" si="5"/>
        <v>9768</v>
      </c>
      <c r="L58" s="13">
        <f t="shared" si="5"/>
        <v>9067</v>
      </c>
      <c r="M58" s="13">
        <f t="shared" si="5"/>
        <v>10958</v>
      </c>
      <c r="N58" s="13">
        <f t="shared" si="5"/>
        <v>14127</v>
      </c>
    </row>
    <row r="59" spans="2:14" x14ac:dyDescent="0.25">
      <c r="B59" s="2" t="s">
        <v>39</v>
      </c>
      <c r="C59" s="8">
        <v>0</v>
      </c>
      <c r="D59" s="8">
        <v>0</v>
      </c>
      <c r="E59" s="8">
        <v>0</v>
      </c>
      <c r="F59" s="7">
        <v>1522</v>
      </c>
      <c r="G59" s="7">
        <v>1522</v>
      </c>
      <c r="H59" s="7">
        <v>1522</v>
      </c>
      <c r="I59" s="7">
        <v>1606</v>
      </c>
      <c r="J59" s="7">
        <v>1526</v>
      </c>
      <c r="K59" s="7">
        <v>1526</v>
      </c>
      <c r="L59" s="7">
        <v>3</v>
      </c>
      <c r="M59" s="7">
        <v>3</v>
      </c>
      <c r="N59" s="7">
        <v>108</v>
      </c>
    </row>
    <row r="60" spans="2:14" s="16" customFormat="1" x14ac:dyDescent="0.25">
      <c r="B60" s="1"/>
      <c r="C60" s="14">
        <f t="shared" ref="C60:N60" si="6">SUM(C58:C59)</f>
        <v>9187</v>
      </c>
      <c r="D60" s="14">
        <f t="shared" si="6"/>
        <v>8495</v>
      </c>
      <c r="E60" s="14">
        <f t="shared" si="6"/>
        <v>8095</v>
      </c>
      <c r="F60" s="14">
        <f t="shared" si="6"/>
        <v>9987</v>
      </c>
      <c r="G60" s="14">
        <f t="shared" si="6"/>
        <v>9229</v>
      </c>
      <c r="H60" s="14">
        <f t="shared" si="6"/>
        <v>9835</v>
      </c>
      <c r="I60" s="14">
        <f t="shared" si="6"/>
        <v>10487</v>
      </c>
      <c r="J60" s="14">
        <f t="shared" si="6"/>
        <v>11999</v>
      </c>
      <c r="K60" s="14">
        <f t="shared" si="6"/>
        <v>11294</v>
      </c>
      <c r="L60" s="14">
        <f t="shared" si="6"/>
        <v>9070</v>
      </c>
      <c r="M60" s="14">
        <f t="shared" si="6"/>
        <v>10961</v>
      </c>
      <c r="N60" s="14">
        <f t="shared" si="6"/>
        <v>14235</v>
      </c>
    </row>
    <row r="61" spans="2:14" x14ac:dyDescent="0.25">
      <c r="B61" s="1" t="s">
        <v>40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2:14" x14ac:dyDescent="0.25">
      <c r="B62" s="2" t="s">
        <v>28</v>
      </c>
      <c r="C62" s="7">
        <v>24614</v>
      </c>
      <c r="D62" s="7">
        <v>22666</v>
      </c>
      <c r="E62" s="7">
        <v>23712</v>
      </c>
      <c r="F62" s="7">
        <v>22631</v>
      </c>
      <c r="G62" s="7">
        <v>22511</v>
      </c>
      <c r="H62" s="7">
        <v>23956</v>
      </c>
      <c r="I62" s="7">
        <v>22757</v>
      </c>
      <c r="J62" s="7">
        <v>22057</v>
      </c>
      <c r="K62" s="7">
        <v>21277</v>
      </c>
      <c r="L62" s="7">
        <v>23504</v>
      </c>
      <c r="M62" s="7">
        <v>22760</v>
      </c>
      <c r="N62" s="7">
        <v>19160</v>
      </c>
    </row>
    <row r="63" spans="2:14" x14ac:dyDescent="0.25">
      <c r="B63" s="2" t="s">
        <v>7</v>
      </c>
      <c r="C63" s="7">
        <v>54</v>
      </c>
      <c r="D63" s="7">
        <v>592</v>
      </c>
      <c r="E63" s="7">
        <v>490</v>
      </c>
      <c r="F63" s="7">
        <v>342</v>
      </c>
      <c r="G63" s="7">
        <v>415</v>
      </c>
      <c r="H63" s="7">
        <v>366</v>
      </c>
      <c r="I63" s="7">
        <v>350</v>
      </c>
      <c r="J63" s="7">
        <v>83</v>
      </c>
      <c r="K63" s="7">
        <v>99</v>
      </c>
      <c r="L63" s="7">
        <v>123</v>
      </c>
      <c r="M63" s="7">
        <v>138</v>
      </c>
      <c r="N63" s="7">
        <v>78</v>
      </c>
    </row>
    <row r="64" spans="2:14" x14ac:dyDescent="0.25">
      <c r="B64" s="2" t="s">
        <v>18</v>
      </c>
      <c r="C64" s="7">
        <v>2078</v>
      </c>
      <c r="D64" s="7">
        <v>1897</v>
      </c>
      <c r="E64" s="7">
        <v>2046</v>
      </c>
      <c r="F64" s="7">
        <v>1983</v>
      </c>
      <c r="G64" s="7">
        <v>1879</v>
      </c>
      <c r="H64" s="7">
        <v>2007</v>
      </c>
      <c r="I64" s="7">
        <v>1947</v>
      </c>
      <c r="J64" s="7">
        <v>1965</v>
      </c>
      <c r="K64" s="7">
        <v>1957</v>
      </c>
      <c r="L64" s="7">
        <v>2183</v>
      </c>
      <c r="M64" s="7">
        <v>2262</v>
      </c>
      <c r="N64" s="7">
        <v>2199</v>
      </c>
    </row>
    <row r="65" spans="2:14" x14ac:dyDescent="0.25">
      <c r="B65" s="2" t="s">
        <v>19</v>
      </c>
      <c r="C65" s="7">
        <v>129</v>
      </c>
      <c r="D65" s="7">
        <v>129</v>
      </c>
      <c r="E65" s="7">
        <v>93</v>
      </c>
      <c r="F65" s="7">
        <v>22</v>
      </c>
      <c r="G65" s="7">
        <v>35</v>
      </c>
      <c r="H65" s="7">
        <v>25</v>
      </c>
      <c r="I65" s="7">
        <v>25</v>
      </c>
      <c r="J65" s="7">
        <v>25</v>
      </c>
      <c r="K65" s="7">
        <v>28</v>
      </c>
      <c r="L65" s="7">
        <v>21</v>
      </c>
      <c r="M65" s="7">
        <v>20</v>
      </c>
      <c r="N65" s="7">
        <v>136</v>
      </c>
    </row>
    <row r="66" spans="2:14" x14ac:dyDescent="0.25">
      <c r="B66" s="2" t="s">
        <v>41</v>
      </c>
      <c r="C66" s="7">
        <v>2192</v>
      </c>
      <c r="D66" s="7">
        <v>2171</v>
      </c>
      <c r="E66" s="7">
        <v>2234</v>
      </c>
      <c r="F66" s="7">
        <v>2346</v>
      </c>
      <c r="G66" s="7">
        <v>2305</v>
      </c>
      <c r="H66" s="7">
        <v>2359</v>
      </c>
      <c r="I66" s="7">
        <v>2209</v>
      </c>
      <c r="J66" s="7">
        <v>2587</v>
      </c>
      <c r="K66" s="7">
        <v>2685</v>
      </c>
      <c r="L66" s="7">
        <v>2601</v>
      </c>
      <c r="M66" s="7">
        <v>2649</v>
      </c>
      <c r="N66" s="7">
        <v>2595</v>
      </c>
    </row>
    <row r="67" spans="2:14" x14ac:dyDescent="0.25">
      <c r="B67" s="2" t="s">
        <v>35</v>
      </c>
      <c r="C67" s="7">
        <v>1096</v>
      </c>
      <c r="D67" s="7">
        <v>1126</v>
      </c>
      <c r="E67" s="7">
        <v>1124</v>
      </c>
      <c r="F67" s="7">
        <v>1119</v>
      </c>
      <c r="G67" s="7">
        <v>1118</v>
      </c>
      <c r="H67" s="7">
        <v>1068</v>
      </c>
      <c r="I67" s="7">
        <v>1055</v>
      </c>
      <c r="J67" s="7">
        <v>1056</v>
      </c>
      <c r="K67" s="7">
        <v>1064</v>
      </c>
      <c r="L67" s="7">
        <v>1103</v>
      </c>
      <c r="M67" s="7">
        <v>1129</v>
      </c>
      <c r="N67" s="7">
        <v>1106</v>
      </c>
    </row>
    <row r="68" spans="2:14" x14ac:dyDescent="0.25">
      <c r="B68" s="2" t="s">
        <v>42</v>
      </c>
      <c r="C68" s="7">
        <v>288</v>
      </c>
      <c r="D68" s="7">
        <v>260</v>
      </c>
      <c r="E68" s="7">
        <v>263</v>
      </c>
      <c r="F68" s="7">
        <v>317</v>
      </c>
      <c r="G68" s="7">
        <v>313</v>
      </c>
      <c r="H68" s="7">
        <v>325</v>
      </c>
      <c r="I68" s="7">
        <v>321</v>
      </c>
      <c r="J68" s="7">
        <v>317</v>
      </c>
      <c r="K68" s="7">
        <v>332</v>
      </c>
      <c r="L68" s="7">
        <v>373</v>
      </c>
      <c r="M68" s="7">
        <v>363</v>
      </c>
      <c r="N68" s="7">
        <v>319</v>
      </c>
    </row>
    <row r="69" spans="2:14" x14ac:dyDescent="0.25">
      <c r="B69" s="2" t="s">
        <v>12</v>
      </c>
      <c r="C69" s="7">
        <v>44</v>
      </c>
      <c r="D69" s="7">
        <v>24</v>
      </c>
      <c r="E69" s="7">
        <v>19</v>
      </c>
      <c r="F69" s="7">
        <v>10</v>
      </c>
      <c r="G69" s="7">
        <v>5</v>
      </c>
      <c r="H69" s="7">
        <v>29</v>
      </c>
      <c r="I69" s="7">
        <v>57</v>
      </c>
      <c r="J69" s="7">
        <v>207</v>
      </c>
      <c r="K69" s="7">
        <v>182</v>
      </c>
      <c r="L69" s="7">
        <v>176</v>
      </c>
      <c r="M69" s="7">
        <v>156</v>
      </c>
      <c r="N69" s="7">
        <v>161</v>
      </c>
    </row>
    <row r="70" spans="2:14" x14ac:dyDescent="0.25">
      <c r="B70" s="2" t="s">
        <v>36</v>
      </c>
      <c r="C70" s="7">
        <v>971</v>
      </c>
      <c r="D70" s="7">
        <v>885</v>
      </c>
      <c r="E70" s="7">
        <v>577</v>
      </c>
      <c r="F70" s="7">
        <v>515</v>
      </c>
      <c r="G70" s="7">
        <v>457</v>
      </c>
      <c r="H70" s="7">
        <v>391</v>
      </c>
      <c r="I70" s="7">
        <v>333</v>
      </c>
      <c r="J70" s="7">
        <v>272</v>
      </c>
      <c r="K70" s="7">
        <v>212</v>
      </c>
      <c r="L70" s="7">
        <v>151</v>
      </c>
      <c r="M70" s="7">
        <v>89</v>
      </c>
      <c r="N70" s="7">
        <v>29</v>
      </c>
    </row>
    <row r="71" spans="2:14" x14ac:dyDescent="0.25">
      <c r="B71" s="2" t="s">
        <v>37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628</v>
      </c>
      <c r="J71" s="7">
        <v>630</v>
      </c>
      <c r="K71" s="7">
        <v>638</v>
      </c>
      <c r="L71" s="7">
        <v>696</v>
      </c>
      <c r="M71" s="7">
        <v>699</v>
      </c>
      <c r="N71" s="7">
        <v>650</v>
      </c>
    </row>
    <row r="72" spans="2:14" x14ac:dyDescent="0.25">
      <c r="B72" s="2" t="s">
        <v>38</v>
      </c>
      <c r="C72" s="8">
        <v>240</v>
      </c>
      <c r="D72" s="8">
        <v>250</v>
      </c>
      <c r="E72" s="8">
        <v>564</v>
      </c>
      <c r="F72" s="7">
        <v>1503</v>
      </c>
      <c r="G72" s="7">
        <v>1411</v>
      </c>
      <c r="H72" s="7">
        <v>1409</v>
      </c>
      <c r="I72" s="7">
        <v>635</v>
      </c>
      <c r="J72" s="7">
        <v>656</v>
      </c>
      <c r="K72" s="7">
        <v>633</v>
      </c>
      <c r="L72" s="7">
        <v>647</v>
      </c>
      <c r="M72" s="7">
        <v>834</v>
      </c>
      <c r="N72" s="7">
        <v>924</v>
      </c>
    </row>
    <row r="73" spans="2:14" s="16" customFormat="1" x14ac:dyDescent="0.25">
      <c r="B73" s="1"/>
      <c r="C73" s="14">
        <f t="shared" ref="C73:N73" si="7">SUM(C62:C72)</f>
        <v>31706</v>
      </c>
      <c r="D73" s="14">
        <f t="shared" si="7"/>
        <v>30000</v>
      </c>
      <c r="E73" s="14">
        <f t="shared" si="7"/>
        <v>31122</v>
      </c>
      <c r="F73" s="14">
        <f t="shared" si="7"/>
        <v>30788</v>
      </c>
      <c r="G73" s="14">
        <f t="shared" si="7"/>
        <v>30449</v>
      </c>
      <c r="H73" s="14">
        <f t="shared" si="7"/>
        <v>31935</v>
      </c>
      <c r="I73" s="14">
        <f t="shared" si="7"/>
        <v>30317</v>
      </c>
      <c r="J73" s="14">
        <f t="shared" si="7"/>
        <v>29855</v>
      </c>
      <c r="K73" s="14">
        <f t="shared" si="7"/>
        <v>29107</v>
      </c>
      <c r="L73" s="14">
        <f t="shared" si="7"/>
        <v>31578</v>
      </c>
      <c r="M73" s="14">
        <f t="shared" si="7"/>
        <v>31099</v>
      </c>
      <c r="N73" s="14">
        <f t="shared" si="7"/>
        <v>27357</v>
      </c>
    </row>
    <row r="74" spans="2:14" s="16" customFormat="1" x14ac:dyDescent="0.25">
      <c r="B74" s="1" t="s">
        <v>43</v>
      </c>
      <c r="C74" s="14">
        <f t="shared" ref="C74:N74" si="8">C60+C73</f>
        <v>40893</v>
      </c>
      <c r="D74" s="14">
        <f t="shared" si="8"/>
        <v>38495</v>
      </c>
      <c r="E74" s="14">
        <f t="shared" si="8"/>
        <v>39217</v>
      </c>
      <c r="F74" s="14">
        <f t="shared" si="8"/>
        <v>40775</v>
      </c>
      <c r="G74" s="14">
        <f t="shared" si="8"/>
        <v>39678</v>
      </c>
      <c r="H74" s="14">
        <f t="shared" si="8"/>
        <v>41770</v>
      </c>
      <c r="I74" s="14">
        <f t="shared" si="8"/>
        <v>40804</v>
      </c>
      <c r="J74" s="14">
        <f t="shared" si="8"/>
        <v>41854</v>
      </c>
      <c r="K74" s="14">
        <f t="shared" si="8"/>
        <v>40401</v>
      </c>
      <c r="L74" s="14">
        <f t="shared" si="8"/>
        <v>40648</v>
      </c>
      <c r="M74" s="14">
        <f t="shared" si="8"/>
        <v>42060</v>
      </c>
      <c r="N74" s="14">
        <f t="shared" si="8"/>
        <v>41592</v>
      </c>
    </row>
    <row r="75" spans="2:14" x14ac:dyDescent="0.25">
      <c r="B75" s="2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2:14" x14ac:dyDescent="0.25">
      <c r="B76" s="1" t="s">
        <v>44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2:14" x14ac:dyDescent="0.25">
      <c r="B77" s="2" t="s">
        <v>45</v>
      </c>
      <c r="C77" s="7">
        <v>28656</v>
      </c>
      <c r="D77" s="7">
        <v>28656</v>
      </c>
      <c r="E77" s="7">
        <v>28656</v>
      </c>
      <c r="F77" s="7">
        <v>28656</v>
      </c>
      <c r="G77" s="7">
        <v>28656</v>
      </c>
      <c r="H77" s="7">
        <v>28656</v>
      </c>
      <c r="I77" s="7">
        <v>28656</v>
      </c>
      <c r="J77" s="7">
        <v>28656</v>
      </c>
      <c r="K77" s="7">
        <v>28656</v>
      </c>
      <c r="L77" s="7">
        <v>28656</v>
      </c>
      <c r="M77" s="7">
        <v>28656</v>
      </c>
      <c r="N77" s="7">
        <v>28656</v>
      </c>
    </row>
    <row r="78" spans="2:14" x14ac:dyDescent="0.25">
      <c r="B78" s="2" t="s">
        <v>46</v>
      </c>
      <c r="C78" s="7">
        <v>7436</v>
      </c>
      <c r="D78" s="7">
        <v>7549</v>
      </c>
      <c r="E78" s="7">
        <v>7549</v>
      </c>
      <c r="F78" s="7">
        <v>6254</v>
      </c>
      <c r="G78" s="7">
        <v>6241</v>
      </c>
      <c r="H78" s="7">
        <v>6121</v>
      </c>
      <c r="I78" s="7">
        <v>6119</v>
      </c>
      <c r="J78" s="7">
        <v>6569</v>
      </c>
      <c r="K78" s="7">
        <v>6069</v>
      </c>
      <c r="L78" s="7">
        <v>6181</v>
      </c>
      <c r="M78" s="7">
        <v>5925</v>
      </c>
      <c r="N78" s="7">
        <v>7088</v>
      </c>
    </row>
    <row r="79" spans="2:14" x14ac:dyDescent="0.25">
      <c r="B79" s="37" t="s">
        <v>136</v>
      </c>
      <c r="C79" s="7">
        <v>148</v>
      </c>
      <c r="D79" s="7">
        <v>402</v>
      </c>
      <c r="E79" s="7">
        <v>505</v>
      </c>
      <c r="F79" s="7">
        <v>0</v>
      </c>
      <c r="G79" s="18">
        <v>-573</v>
      </c>
      <c r="H79" s="7">
        <v>10</v>
      </c>
      <c r="I79" s="7">
        <v>479</v>
      </c>
      <c r="J79" s="7">
        <v>0</v>
      </c>
      <c r="K79" s="18">
        <v>-322</v>
      </c>
      <c r="L79" s="18">
        <v>-228</v>
      </c>
      <c r="M79" s="18">
        <v>-44</v>
      </c>
      <c r="N79" s="7">
        <v>0</v>
      </c>
    </row>
    <row r="80" spans="2:14" x14ac:dyDescent="0.25">
      <c r="B80" s="2" t="s">
        <v>47</v>
      </c>
      <c r="C80" s="7">
        <v>1962</v>
      </c>
      <c r="D80" s="7">
        <v>1157</v>
      </c>
      <c r="E80" s="7">
        <v>1247</v>
      </c>
      <c r="F80" s="7">
        <v>1255</v>
      </c>
      <c r="G80" s="7">
        <v>831</v>
      </c>
      <c r="H80" s="7">
        <v>1412</v>
      </c>
      <c r="I80" s="7">
        <v>931</v>
      </c>
      <c r="J80" s="7">
        <v>733</v>
      </c>
      <c r="K80" s="7">
        <v>873</v>
      </c>
      <c r="L80" s="7">
        <v>1771</v>
      </c>
      <c r="M80" s="7">
        <v>1765</v>
      </c>
      <c r="N80" s="7">
        <v>1475</v>
      </c>
    </row>
    <row r="81" spans="2:14" s="16" customFormat="1" x14ac:dyDescent="0.25">
      <c r="B81" s="1" t="s">
        <v>48</v>
      </c>
      <c r="C81" s="17">
        <f t="shared" ref="C81:N81" si="9">SUM(C77:C80)</f>
        <v>38202</v>
      </c>
      <c r="D81" s="17">
        <f t="shared" si="9"/>
        <v>37764</v>
      </c>
      <c r="E81" s="17">
        <f t="shared" si="9"/>
        <v>37957</v>
      </c>
      <c r="F81" s="17">
        <f t="shared" si="9"/>
        <v>36165</v>
      </c>
      <c r="G81" s="17">
        <f t="shared" si="9"/>
        <v>35155</v>
      </c>
      <c r="H81" s="17">
        <f t="shared" si="9"/>
        <v>36199</v>
      </c>
      <c r="I81" s="17">
        <f t="shared" si="9"/>
        <v>36185</v>
      </c>
      <c r="J81" s="17">
        <f t="shared" si="9"/>
        <v>35958</v>
      </c>
      <c r="K81" s="17">
        <f t="shared" si="9"/>
        <v>35276</v>
      </c>
      <c r="L81" s="17">
        <f t="shared" si="9"/>
        <v>36380</v>
      </c>
      <c r="M81" s="17">
        <f t="shared" si="9"/>
        <v>36302</v>
      </c>
      <c r="N81" s="17">
        <f t="shared" si="9"/>
        <v>37219</v>
      </c>
    </row>
    <row r="82" spans="2:14" x14ac:dyDescent="0.25">
      <c r="B82" s="2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2:14" x14ac:dyDescent="0.25">
      <c r="B83" s="2" t="s">
        <v>148</v>
      </c>
      <c r="C83" s="7">
        <v>3772</v>
      </c>
      <c r="D83" s="7">
        <v>2896</v>
      </c>
      <c r="E83" s="7">
        <v>2984</v>
      </c>
      <c r="F83" s="7">
        <v>2658</v>
      </c>
      <c r="G83" s="7">
        <v>2680</v>
      </c>
      <c r="H83" s="7">
        <v>2719</v>
      </c>
      <c r="I83" s="7">
        <v>2442</v>
      </c>
      <c r="J83" s="7">
        <v>4857</v>
      </c>
      <c r="K83" s="7">
        <v>4890</v>
      </c>
      <c r="L83" s="7">
        <v>5550</v>
      </c>
      <c r="M83" s="7">
        <v>5759</v>
      </c>
      <c r="N83" s="7">
        <v>5623</v>
      </c>
    </row>
    <row r="84" spans="2:14" x14ac:dyDescent="0.25">
      <c r="B84" s="2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2:14" s="16" customFormat="1" x14ac:dyDescent="0.25">
      <c r="B85" s="1" t="s">
        <v>49</v>
      </c>
      <c r="C85" s="14">
        <f t="shared" ref="C85:N85" si="10">C81+C83</f>
        <v>41974</v>
      </c>
      <c r="D85" s="14">
        <f t="shared" si="10"/>
        <v>40660</v>
      </c>
      <c r="E85" s="14">
        <f t="shared" si="10"/>
        <v>40941</v>
      </c>
      <c r="F85" s="14">
        <f t="shared" si="10"/>
        <v>38823</v>
      </c>
      <c r="G85" s="14">
        <f t="shared" si="10"/>
        <v>37835</v>
      </c>
      <c r="H85" s="14">
        <f t="shared" si="10"/>
        <v>38918</v>
      </c>
      <c r="I85" s="14">
        <f t="shared" si="10"/>
        <v>38627</v>
      </c>
      <c r="J85" s="14">
        <f t="shared" si="10"/>
        <v>40815</v>
      </c>
      <c r="K85" s="14">
        <f t="shared" si="10"/>
        <v>40166</v>
      </c>
      <c r="L85" s="14">
        <f t="shared" si="10"/>
        <v>41930</v>
      </c>
      <c r="M85" s="14">
        <f t="shared" si="10"/>
        <v>42061</v>
      </c>
      <c r="N85" s="14">
        <f t="shared" si="10"/>
        <v>42842</v>
      </c>
    </row>
    <row r="86" spans="2:14" x14ac:dyDescent="0.25">
      <c r="B86" s="2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2:14" s="16" customFormat="1" ht="15.75" thickBot="1" x14ac:dyDescent="0.3">
      <c r="B87" s="1" t="s">
        <v>50</v>
      </c>
      <c r="C87" s="15">
        <f t="shared" ref="C87:N87" si="11">C85+C74</f>
        <v>82867</v>
      </c>
      <c r="D87" s="15">
        <f t="shared" si="11"/>
        <v>79155</v>
      </c>
      <c r="E87" s="15">
        <f t="shared" si="11"/>
        <v>80158</v>
      </c>
      <c r="F87" s="15">
        <f t="shared" si="11"/>
        <v>79598</v>
      </c>
      <c r="G87" s="15">
        <f t="shared" si="11"/>
        <v>77513</v>
      </c>
      <c r="H87" s="15">
        <f t="shared" si="11"/>
        <v>80688</v>
      </c>
      <c r="I87" s="15">
        <f t="shared" si="11"/>
        <v>79431</v>
      </c>
      <c r="J87" s="15">
        <f t="shared" si="11"/>
        <v>82669</v>
      </c>
      <c r="K87" s="15">
        <f t="shared" si="11"/>
        <v>80567</v>
      </c>
      <c r="L87" s="15">
        <f t="shared" si="11"/>
        <v>82578</v>
      </c>
      <c r="M87" s="15">
        <f t="shared" si="11"/>
        <v>84121</v>
      </c>
      <c r="N87" s="15">
        <f t="shared" si="11"/>
        <v>84434</v>
      </c>
    </row>
    <row r="88" spans="2:14" ht="15.75" thickTop="1" x14ac:dyDescent="0.25"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2:14" x14ac:dyDescent="0.25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2:14" x14ac:dyDescent="0.25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2:14" x14ac:dyDescent="0.25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2:14" x14ac:dyDescent="0.25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2:14" x14ac:dyDescent="0.25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2:14" x14ac:dyDescent="0.25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2:14" x14ac:dyDescent="0.25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2:14" x14ac:dyDescent="0.25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3:14" x14ac:dyDescent="0.25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3:14" x14ac:dyDescent="0.25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3:14" x14ac:dyDescent="0.25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3:14" x14ac:dyDescent="0.2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3:14" x14ac:dyDescent="0.25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3:14" x14ac:dyDescent="0.25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3:14" x14ac:dyDescent="0.25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3:14" x14ac:dyDescent="0.25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3:14" x14ac:dyDescent="0.25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3:14" x14ac:dyDescent="0.25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3:14" x14ac:dyDescent="0.25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3:14" x14ac:dyDescent="0.25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3:14" x14ac:dyDescent="0.25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3:14" x14ac:dyDescent="0.25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3:14" x14ac:dyDescent="0.25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3:14" x14ac:dyDescent="0.25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3:14" x14ac:dyDescent="0.25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3:14" x14ac:dyDescent="0.25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</sheetData>
  <mergeCells count="3">
    <mergeCell ref="C4:F5"/>
    <mergeCell ref="G4:J5"/>
    <mergeCell ref="K4:N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G4 K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53"/>
  <sheetViews>
    <sheetView showGridLine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4" sqref="B4"/>
    </sheetView>
  </sheetViews>
  <sheetFormatPr defaultRowHeight="15" x14ac:dyDescent="0.25"/>
  <cols>
    <col min="1" max="1" width="3.42578125" customWidth="1"/>
    <col min="2" max="2" width="83.42578125" bestFit="1" customWidth="1"/>
    <col min="3" max="17" width="18" customWidth="1"/>
  </cols>
  <sheetData>
    <row r="4" spans="2:17" ht="15" customHeight="1" x14ac:dyDescent="0.25">
      <c r="B4" s="3"/>
      <c r="C4" s="72" t="s">
        <v>0</v>
      </c>
      <c r="D4" s="72"/>
      <c r="E4" s="72"/>
      <c r="F4" s="72"/>
      <c r="G4" s="72"/>
      <c r="H4" s="73" t="s">
        <v>1</v>
      </c>
      <c r="I4" s="73"/>
      <c r="J4" s="73"/>
      <c r="K4" s="73"/>
      <c r="L4" s="73"/>
      <c r="M4" s="73" t="s">
        <v>2</v>
      </c>
      <c r="N4" s="73"/>
      <c r="O4" s="73"/>
      <c r="P4" s="73"/>
      <c r="Q4" s="73"/>
    </row>
    <row r="5" spans="2:17" ht="15.75" x14ac:dyDescent="0.25">
      <c r="B5" s="4" t="s">
        <v>184</v>
      </c>
      <c r="C5" s="72"/>
      <c r="D5" s="72"/>
      <c r="E5" s="72"/>
      <c r="F5" s="72"/>
      <c r="G5" s="72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2:17" ht="15.75" x14ac:dyDescent="0.25">
      <c r="B6" s="4" t="s">
        <v>147</v>
      </c>
      <c r="C6" s="47" t="s">
        <v>149</v>
      </c>
      <c r="D6" s="47" t="s">
        <v>150</v>
      </c>
      <c r="E6" s="47" t="s">
        <v>151</v>
      </c>
      <c r="F6" s="47" t="s">
        <v>152</v>
      </c>
      <c r="G6" s="47" t="s">
        <v>0</v>
      </c>
      <c r="H6" s="47" t="s">
        <v>153</v>
      </c>
      <c r="I6" s="47" t="s">
        <v>154</v>
      </c>
      <c r="J6" s="47" t="s">
        <v>155</v>
      </c>
      <c r="K6" s="47" t="s">
        <v>156</v>
      </c>
      <c r="L6" s="47" t="s">
        <v>1</v>
      </c>
      <c r="M6" s="47" t="s">
        <v>157</v>
      </c>
      <c r="N6" s="47" t="s">
        <v>158</v>
      </c>
      <c r="O6" s="47" t="s">
        <v>159</v>
      </c>
      <c r="P6" s="47" t="s">
        <v>160</v>
      </c>
      <c r="Q6" s="47">
        <v>2018</v>
      </c>
    </row>
    <row r="7" spans="2:17" x14ac:dyDescent="0.25">
      <c r="B7" s="12" t="s">
        <v>51</v>
      </c>
      <c r="G7" s="50"/>
      <c r="L7" s="50"/>
      <c r="Q7" s="50"/>
    </row>
    <row r="8" spans="2:17" x14ac:dyDescent="0.25">
      <c r="B8" s="2" t="s">
        <v>52</v>
      </c>
      <c r="C8" s="7">
        <v>6246</v>
      </c>
      <c r="D8" s="7">
        <f>13283-C8</f>
        <v>7037</v>
      </c>
      <c r="E8" s="7">
        <f>19616-D8-C8</f>
        <v>6333</v>
      </c>
      <c r="F8" s="7">
        <f>G8-E8-D8-C8</f>
        <v>6349</v>
      </c>
      <c r="G8" s="51">
        <v>25965</v>
      </c>
      <c r="H8" s="7">
        <v>5662</v>
      </c>
      <c r="I8" s="7">
        <f>12357-H8</f>
        <v>6695</v>
      </c>
      <c r="J8" s="7">
        <f>19646-I8-H8</f>
        <v>7289</v>
      </c>
      <c r="K8" s="7">
        <f>L8-J8-I8-H8</f>
        <v>7153</v>
      </c>
      <c r="L8" s="51">
        <v>26799</v>
      </c>
      <c r="M8" s="7">
        <v>6785</v>
      </c>
      <c r="N8" s="7">
        <f>14986-M8</f>
        <v>8201</v>
      </c>
      <c r="O8" s="7">
        <f>23893-N8-M8</f>
        <v>8907</v>
      </c>
      <c r="P8" s="7">
        <f>Q8-O8-N8-M8</f>
        <v>8055</v>
      </c>
      <c r="Q8" s="51">
        <v>31948</v>
      </c>
    </row>
    <row r="9" spans="2:17" x14ac:dyDescent="0.25">
      <c r="B9" s="2" t="s">
        <v>53</v>
      </c>
      <c r="C9" s="19">
        <v>-5096</v>
      </c>
      <c r="D9" s="19">
        <f>-10454-C9</f>
        <v>-5358</v>
      </c>
      <c r="E9" s="19">
        <f>-15123-D9-C9</f>
        <v>-4669</v>
      </c>
      <c r="F9" s="19">
        <f>G9-E9-D9-C9</f>
        <v>-4887</v>
      </c>
      <c r="G9" s="52">
        <v>-20010</v>
      </c>
      <c r="H9" s="19">
        <v>-4697</v>
      </c>
      <c r="I9" s="19">
        <f>-10118-H9</f>
        <v>-5421</v>
      </c>
      <c r="J9" s="19">
        <f>-15710-I9-H9</f>
        <v>-5592</v>
      </c>
      <c r="K9" s="19">
        <f>L9-J9-I9-H9</f>
        <v>-5461</v>
      </c>
      <c r="L9" s="52">
        <v>-21171</v>
      </c>
      <c r="M9" s="19">
        <v>-5550</v>
      </c>
      <c r="N9" s="19">
        <f>-12143-M9</f>
        <v>-6593</v>
      </c>
      <c r="O9" s="19">
        <f>-19319-N9-M9</f>
        <v>-7176</v>
      </c>
      <c r="P9" s="19">
        <f>Q9-O9-N9-M9</f>
        <v>-6590</v>
      </c>
      <c r="Q9" s="52">
        <v>-25909</v>
      </c>
    </row>
    <row r="10" spans="2:17" x14ac:dyDescent="0.25">
      <c r="B10" s="12" t="s">
        <v>54</v>
      </c>
      <c r="C10" s="13">
        <f t="shared" ref="C10:Q10" si="0">SUM(C8:C9)</f>
        <v>1150</v>
      </c>
      <c r="D10" s="13">
        <f t="shared" si="0"/>
        <v>1679</v>
      </c>
      <c r="E10" s="13">
        <f t="shared" si="0"/>
        <v>1664</v>
      </c>
      <c r="F10" s="13">
        <f t="shared" si="0"/>
        <v>1462</v>
      </c>
      <c r="G10" s="53">
        <f t="shared" si="0"/>
        <v>5955</v>
      </c>
      <c r="H10" s="13">
        <f t="shared" si="0"/>
        <v>965</v>
      </c>
      <c r="I10" s="13">
        <f t="shared" si="0"/>
        <v>1274</v>
      </c>
      <c r="J10" s="13">
        <f t="shared" si="0"/>
        <v>1697</v>
      </c>
      <c r="K10" s="13">
        <f t="shared" si="0"/>
        <v>1692</v>
      </c>
      <c r="L10" s="53">
        <f t="shared" si="0"/>
        <v>5628</v>
      </c>
      <c r="M10" s="13">
        <f t="shared" si="0"/>
        <v>1235</v>
      </c>
      <c r="N10" s="13">
        <f t="shared" si="0"/>
        <v>1608</v>
      </c>
      <c r="O10" s="13">
        <f t="shared" si="0"/>
        <v>1731</v>
      </c>
      <c r="P10" s="13">
        <f t="shared" si="0"/>
        <v>1465</v>
      </c>
      <c r="Q10" s="53">
        <f t="shared" si="0"/>
        <v>6039</v>
      </c>
    </row>
    <row r="11" spans="2:17" x14ac:dyDescent="0.25">
      <c r="B11" s="2"/>
      <c r="C11" s="7"/>
      <c r="D11" s="7"/>
      <c r="E11" s="7"/>
      <c r="F11" s="7"/>
      <c r="G11" s="51"/>
      <c r="H11" s="7"/>
      <c r="I11" s="7"/>
      <c r="J11" s="7"/>
      <c r="K11" s="7"/>
      <c r="L11" s="51"/>
      <c r="M11" s="7"/>
      <c r="N11" s="7"/>
      <c r="O11" s="7"/>
      <c r="P11" s="7"/>
      <c r="Q11" s="51"/>
    </row>
    <row r="12" spans="2:17" x14ac:dyDescent="0.25">
      <c r="B12" s="1" t="s">
        <v>55</v>
      </c>
      <c r="C12" s="7"/>
      <c r="D12" s="7"/>
      <c r="E12" s="7"/>
      <c r="F12" s="7"/>
      <c r="G12" s="51"/>
      <c r="H12" s="7"/>
      <c r="I12" s="7"/>
      <c r="J12" s="7"/>
      <c r="K12" s="7"/>
      <c r="L12" s="51"/>
      <c r="M12" s="7"/>
      <c r="N12" s="7"/>
      <c r="O12" s="7"/>
      <c r="P12" s="7"/>
      <c r="Q12" s="51"/>
    </row>
    <row r="13" spans="2:17" x14ac:dyDescent="0.25">
      <c r="B13" s="2" t="s">
        <v>56</v>
      </c>
      <c r="C13" s="20">
        <v>-415</v>
      </c>
      <c r="D13" s="20">
        <f>-838-C13</f>
        <v>-423</v>
      </c>
      <c r="E13" s="20">
        <f>-1225-D13-C13</f>
        <v>-387</v>
      </c>
      <c r="F13" s="20">
        <f t="shared" ref="F13:F15" si="1">G13-E13-D13-C13</f>
        <v>-414</v>
      </c>
      <c r="G13" s="54">
        <v>-1639</v>
      </c>
      <c r="H13" s="20">
        <v>-155</v>
      </c>
      <c r="I13" s="20">
        <f>-332-H13</f>
        <v>-177</v>
      </c>
      <c r="J13" s="20">
        <f>-516-I13-H13</f>
        <v>-184</v>
      </c>
      <c r="K13" s="20">
        <f t="shared" ref="K13:K15" si="2">L13-J13-I13-H13</f>
        <v>-185</v>
      </c>
      <c r="L13" s="54">
        <v>-701</v>
      </c>
      <c r="M13" s="20">
        <v>-186</v>
      </c>
      <c r="N13" s="20">
        <f>-388-M13</f>
        <v>-202</v>
      </c>
      <c r="O13" s="20">
        <f>-564-N13-M13</f>
        <v>-176</v>
      </c>
      <c r="P13" s="20">
        <f t="shared" ref="P13:P15" si="3">Q13-O13-N13-M13</f>
        <v>-211</v>
      </c>
      <c r="Q13" s="54">
        <v>-775</v>
      </c>
    </row>
    <row r="14" spans="2:17" x14ac:dyDescent="0.25">
      <c r="B14" s="2" t="s">
        <v>57</v>
      </c>
      <c r="C14" s="20">
        <v>-507</v>
      </c>
      <c r="D14" s="20">
        <f>-999-C14</f>
        <v>-492</v>
      </c>
      <c r="E14" s="20">
        <f>-1483-D14-C14</f>
        <v>-484</v>
      </c>
      <c r="F14" s="20">
        <f t="shared" si="1"/>
        <v>-608</v>
      </c>
      <c r="G14" s="54">
        <v>-2091</v>
      </c>
      <c r="H14" s="20">
        <v>-501</v>
      </c>
      <c r="I14" s="20">
        <f>-932-H14</f>
        <v>-431</v>
      </c>
      <c r="J14" s="20">
        <f>-1443-I14-H14</f>
        <v>-511</v>
      </c>
      <c r="K14" s="20">
        <f t="shared" si="2"/>
        <v>-570</v>
      </c>
      <c r="L14" s="54">
        <v>-2013</v>
      </c>
      <c r="M14" s="20">
        <v>-490</v>
      </c>
      <c r="N14" s="20">
        <f>-983-M14</f>
        <v>-493</v>
      </c>
      <c r="O14" s="20">
        <f>-1542-N14-M14</f>
        <v>-559</v>
      </c>
      <c r="P14" s="20">
        <f t="shared" si="3"/>
        <v>-631</v>
      </c>
      <c r="Q14" s="54">
        <v>-2173</v>
      </c>
    </row>
    <row r="15" spans="2:17" x14ac:dyDescent="0.25">
      <c r="B15" s="2" t="s">
        <v>58</v>
      </c>
      <c r="C15" s="8">
        <v>270</v>
      </c>
      <c r="D15" s="20">
        <f>112-C15</f>
        <v>-158</v>
      </c>
      <c r="E15" s="22">
        <f>-30-D15-C15</f>
        <v>-142</v>
      </c>
      <c r="F15" s="22">
        <f t="shared" si="1"/>
        <v>-2586</v>
      </c>
      <c r="G15" s="55">
        <v>-2616</v>
      </c>
      <c r="H15" s="22">
        <v>-325</v>
      </c>
      <c r="I15" s="7">
        <f>-240-H15</f>
        <v>85</v>
      </c>
      <c r="J15" s="22">
        <f>-640-I15-H15</f>
        <v>-400</v>
      </c>
      <c r="K15" s="7">
        <f t="shared" si="2"/>
        <v>87</v>
      </c>
      <c r="L15" s="55">
        <v>-553</v>
      </c>
      <c r="M15" s="22">
        <v>-43</v>
      </c>
      <c r="N15" s="7">
        <f>119-M15</f>
        <v>162</v>
      </c>
      <c r="O15" s="22">
        <f>-106-N15-M15</f>
        <v>-225</v>
      </c>
      <c r="P15" s="7">
        <f t="shared" si="3"/>
        <v>656</v>
      </c>
      <c r="Q15" s="59">
        <v>550</v>
      </c>
    </row>
    <row r="16" spans="2:17" x14ac:dyDescent="0.25">
      <c r="B16" s="2"/>
      <c r="C16" s="19">
        <f t="shared" ref="C16:Q16" si="4">SUM(C12:C15)</f>
        <v>-652</v>
      </c>
      <c r="D16" s="21">
        <f t="shared" si="4"/>
        <v>-1073</v>
      </c>
      <c r="E16" s="21">
        <f t="shared" si="4"/>
        <v>-1013</v>
      </c>
      <c r="F16" s="21">
        <f t="shared" si="4"/>
        <v>-3608</v>
      </c>
      <c r="G16" s="56">
        <f t="shared" si="4"/>
        <v>-6346</v>
      </c>
      <c r="H16" s="21">
        <f t="shared" si="4"/>
        <v>-981</v>
      </c>
      <c r="I16" s="21">
        <f t="shared" si="4"/>
        <v>-523</v>
      </c>
      <c r="J16" s="21">
        <f t="shared" si="4"/>
        <v>-1095</v>
      </c>
      <c r="K16" s="21">
        <f t="shared" si="4"/>
        <v>-668</v>
      </c>
      <c r="L16" s="56">
        <f t="shared" si="4"/>
        <v>-3267</v>
      </c>
      <c r="M16" s="21">
        <f t="shared" si="4"/>
        <v>-719</v>
      </c>
      <c r="N16" s="21">
        <f t="shared" si="4"/>
        <v>-533</v>
      </c>
      <c r="O16" s="21">
        <f t="shared" si="4"/>
        <v>-960</v>
      </c>
      <c r="P16" s="21">
        <f t="shared" si="4"/>
        <v>-186</v>
      </c>
      <c r="Q16" s="56">
        <f t="shared" si="4"/>
        <v>-2398</v>
      </c>
    </row>
    <row r="17" spans="2:17" x14ac:dyDescent="0.25">
      <c r="B17" s="12" t="s">
        <v>59</v>
      </c>
      <c r="C17" s="14">
        <f t="shared" ref="C17:Q17" si="5">C10+C16</f>
        <v>498</v>
      </c>
      <c r="D17" s="14">
        <f t="shared" si="5"/>
        <v>606</v>
      </c>
      <c r="E17" s="14">
        <f t="shared" si="5"/>
        <v>651</v>
      </c>
      <c r="F17" s="24">
        <f t="shared" si="5"/>
        <v>-2146</v>
      </c>
      <c r="G17" s="57">
        <f t="shared" si="5"/>
        <v>-391</v>
      </c>
      <c r="H17" s="24">
        <f t="shared" si="5"/>
        <v>-16</v>
      </c>
      <c r="I17" s="14">
        <f t="shared" si="5"/>
        <v>751</v>
      </c>
      <c r="J17" s="14">
        <f t="shared" si="5"/>
        <v>602</v>
      </c>
      <c r="K17" s="14">
        <f t="shared" si="5"/>
        <v>1024</v>
      </c>
      <c r="L17" s="64">
        <f t="shared" si="5"/>
        <v>2361</v>
      </c>
      <c r="M17" s="14">
        <f t="shared" si="5"/>
        <v>516</v>
      </c>
      <c r="N17" s="14">
        <f t="shared" si="5"/>
        <v>1075</v>
      </c>
      <c r="O17" s="14">
        <f t="shared" si="5"/>
        <v>771</v>
      </c>
      <c r="P17" s="14">
        <f t="shared" si="5"/>
        <v>1279</v>
      </c>
      <c r="Q17" s="64">
        <f t="shared" si="5"/>
        <v>3641</v>
      </c>
    </row>
    <row r="18" spans="2:17" x14ac:dyDescent="0.25">
      <c r="B18" s="2"/>
      <c r="C18" s="11"/>
      <c r="D18" s="11"/>
      <c r="E18" s="11"/>
      <c r="F18" s="11"/>
      <c r="G18" s="58"/>
      <c r="H18" s="11"/>
      <c r="I18" s="11"/>
      <c r="J18" s="11"/>
      <c r="K18" s="11"/>
      <c r="L18" s="58"/>
      <c r="M18" s="11"/>
      <c r="N18" s="11"/>
      <c r="O18" s="11"/>
      <c r="P18" s="11"/>
      <c r="Q18" s="58"/>
    </row>
    <row r="19" spans="2:17" x14ac:dyDescent="0.25">
      <c r="B19" s="1" t="s">
        <v>60</v>
      </c>
      <c r="C19" s="7"/>
      <c r="D19" s="7"/>
      <c r="E19" s="7"/>
      <c r="F19" s="7"/>
      <c r="G19" s="51"/>
      <c r="H19" s="7"/>
      <c r="I19" s="7"/>
      <c r="J19" s="7"/>
      <c r="K19" s="7"/>
      <c r="L19" s="51"/>
      <c r="M19" s="7"/>
      <c r="N19" s="7"/>
      <c r="O19" s="7"/>
      <c r="P19" s="7"/>
      <c r="Q19" s="51"/>
    </row>
    <row r="20" spans="2:17" x14ac:dyDescent="0.25">
      <c r="B20" s="2" t="s">
        <v>61</v>
      </c>
      <c r="C20" s="7">
        <v>291</v>
      </c>
      <c r="D20" s="7">
        <f>586-C20</f>
        <v>295</v>
      </c>
      <c r="E20" s="20">
        <f>558-D20-C20</f>
        <v>-28</v>
      </c>
      <c r="F20" s="7">
        <f t="shared" ref="F20:F22" si="6">G20-E20-D20-C20</f>
        <v>166</v>
      </c>
      <c r="G20" s="51">
        <v>724</v>
      </c>
      <c r="H20" s="7">
        <v>134</v>
      </c>
      <c r="I20" s="7">
        <f>484-H20</f>
        <v>350</v>
      </c>
      <c r="J20" s="7">
        <f>931-I20-H20</f>
        <v>447</v>
      </c>
      <c r="K20" s="7">
        <f t="shared" ref="K20:K22" si="7">L20-J20-I20-H20</f>
        <v>288</v>
      </c>
      <c r="L20" s="51">
        <v>1219</v>
      </c>
      <c r="M20" s="7">
        <v>389</v>
      </c>
      <c r="N20" s="7">
        <f>441-M20</f>
        <v>52</v>
      </c>
      <c r="O20" s="7">
        <f>562-N20-M20</f>
        <v>121</v>
      </c>
      <c r="P20" s="7">
        <f t="shared" ref="P20:P22" si="8">Q20-O20-N20-M20</f>
        <v>252</v>
      </c>
      <c r="Q20" s="51">
        <v>814</v>
      </c>
    </row>
    <row r="21" spans="2:17" x14ac:dyDescent="0.25">
      <c r="B21" s="2" t="s">
        <v>62</v>
      </c>
      <c r="C21" s="7">
        <v>0</v>
      </c>
      <c r="D21" s="7">
        <v>0</v>
      </c>
      <c r="E21" s="7">
        <v>0</v>
      </c>
      <c r="F21" s="7">
        <f t="shared" si="6"/>
        <v>0</v>
      </c>
      <c r="G21" s="51">
        <v>0</v>
      </c>
      <c r="H21" s="7">
        <v>0</v>
      </c>
      <c r="I21" s="7">
        <v>0</v>
      </c>
      <c r="J21" s="7">
        <v>0</v>
      </c>
      <c r="K21" s="7">
        <f t="shared" si="7"/>
        <v>0</v>
      </c>
      <c r="L21" s="51">
        <v>0</v>
      </c>
      <c r="M21" s="7">
        <v>0</v>
      </c>
      <c r="N21" s="7">
        <v>0</v>
      </c>
      <c r="O21" s="7">
        <v>0</v>
      </c>
      <c r="P21" s="7">
        <f t="shared" si="8"/>
        <v>820</v>
      </c>
      <c r="Q21" s="51">
        <v>820</v>
      </c>
    </row>
    <row r="22" spans="2:17" x14ac:dyDescent="0.25">
      <c r="B22" s="2" t="s">
        <v>63</v>
      </c>
      <c r="C22" s="8">
        <v>44</v>
      </c>
      <c r="D22" s="8">
        <f>44-C22</f>
        <v>0</v>
      </c>
      <c r="E22" s="8">
        <v>0</v>
      </c>
      <c r="F22" s="8">
        <f t="shared" si="6"/>
        <v>0</v>
      </c>
      <c r="G22" s="59">
        <v>44</v>
      </c>
      <c r="H22" s="8">
        <v>4</v>
      </c>
      <c r="I22" s="22">
        <f>3-H22</f>
        <v>-1</v>
      </c>
      <c r="J22" s="8">
        <f>3-I22-H22</f>
        <v>0</v>
      </c>
      <c r="K22" s="8">
        <f t="shared" si="7"/>
        <v>0</v>
      </c>
      <c r="L22" s="59">
        <v>3</v>
      </c>
      <c r="M22" s="8">
        <v>0</v>
      </c>
      <c r="N22" s="8">
        <f>0-M22</f>
        <v>0</v>
      </c>
      <c r="O22" s="8">
        <f>0-N22-M22</f>
        <v>0</v>
      </c>
      <c r="P22" s="8">
        <f t="shared" si="8"/>
        <v>4</v>
      </c>
      <c r="Q22" s="59">
        <v>4</v>
      </c>
    </row>
    <row r="23" spans="2:17" x14ac:dyDescent="0.25">
      <c r="B23" s="2"/>
      <c r="C23" s="9">
        <f t="shared" ref="C23:Q23" si="9">SUM(C20:C22)</f>
        <v>335</v>
      </c>
      <c r="D23" s="9">
        <f t="shared" si="9"/>
        <v>295</v>
      </c>
      <c r="E23" s="23">
        <f t="shared" si="9"/>
        <v>-28</v>
      </c>
      <c r="F23" s="9">
        <f t="shared" si="9"/>
        <v>166</v>
      </c>
      <c r="G23" s="60">
        <f t="shared" si="9"/>
        <v>768</v>
      </c>
      <c r="H23" s="9">
        <f t="shared" si="9"/>
        <v>138</v>
      </c>
      <c r="I23" s="9">
        <f t="shared" si="9"/>
        <v>349</v>
      </c>
      <c r="J23" s="9">
        <f t="shared" si="9"/>
        <v>447</v>
      </c>
      <c r="K23" s="9">
        <f t="shared" si="9"/>
        <v>288</v>
      </c>
      <c r="L23" s="60">
        <f t="shared" si="9"/>
        <v>1222</v>
      </c>
      <c r="M23" s="9">
        <f t="shared" si="9"/>
        <v>389</v>
      </c>
      <c r="N23" s="9">
        <f t="shared" si="9"/>
        <v>52</v>
      </c>
      <c r="O23" s="9">
        <f t="shared" si="9"/>
        <v>121</v>
      </c>
      <c r="P23" s="9">
        <f t="shared" si="9"/>
        <v>1076</v>
      </c>
      <c r="Q23" s="60">
        <f t="shared" si="9"/>
        <v>1638</v>
      </c>
    </row>
    <row r="24" spans="2:17" x14ac:dyDescent="0.25">
      <c r="B24" s="1" t="s">
        <v>64</v>
      </c>
      <c r="C24" s="7"/>
      <c r="D24" s="7"/>
      <c r="E24" s="7"/>
      <c r="F24" s="7"/>
      <c r="G24" s="51"/>
      <c r="H24" s="7"/>
      <c r="I24" s="7"/>
      <c r="J24" s="7"/>
      <c r="K24" s="7"/>
      <c r="L24" s="51"/>
      <c r="M24" s="7"/>
      <c r="N24" s="7"/>
      <c r="O24" s="7"/>
      <c r="P24" s="7"/>
      <c r="Q24" s="51"/>
    </row>
    <row r="25" spans="2:17" x14ac:dyDescent="0.25">
      <c r="B25" s="2" t="s">
        <v>65</v>
      </c>
      <c r="C25" s="7">
        <v>501</v>
      </c>
      <c r="D25" s="7">
        <f>830-C25</f>
        <v>329</v>
      </c>
      <c r="E25" s="7">
        <f>1107-D25-C25</f>
        <v>277</v>
      </c>
      <c r="F25" s="7">
        <f t="shared" ref="F25:F28" si="10">G25-E25-D25-C25</f>
        <v>290</v>
      </c>
      <c r="G25" s="51">
        <v>1397</v>
      </c>
      <c r="H25" s="7">
        <v>292</v>
      </c>
      <c r="I25" s="7">
        <f>770-H25</f>
        <v>478</v>
      </c>
      <c r="J25" s="7">
        <f>972-I25-H25</f>
        <v>202</v>
      </c>
      <c r="K25" s="7">
        <f t="shared" ref="K25:K28" si="11">L25-J25-I25-H25</f>
        <v>181</v>
      </c>
      <c r="L25" s="51">
        <v>1153</v>
      </c>
      <c r="M25" s="7">
        <v>226</v>
      </c>
      <c r="N25" s="7">
        <f>537-M25</f>
        <v>311</v>
      </c>
      <c r="O25" s="7">
        <f>800-N25-M25</f>
        <v>263</v>
      </c>
      <c r="P25" s="7">
        <f t="shared" ref="P25:P28" si="12">Q25-O25-N25-M25</f>
        <v>461</v>
      </c>
      <c r="Q25" s="51">
        <v>1261</v>
      </c>
    </row>
    <row r="26" spans="2:17" x14ac:dyDescent="0.25">
      <c r="B26" s="2" t="s">
        <v>66</v>
      </c>
      <c r="C26" s="20">
        <v>-709</v>
      </c>
      <c r="D26" s="20">
        <f>-1402-C26</f>
        <v>-693</v>
      </c>
      <c r="E26" s="20">
        <f>-2011-D26-C26</f>
        <v>-609</v>
      </c>
      <c r="F26" s="20">
        <f t="shared" si="10"/>
        <v>-632</v>
      </c>
      <c r="G26" s="54">
        <v>-2643</v>
      </c>
      <c r="H26" s="20">
        <v>-637</v>
      </c>
      <c r="I26" s="20">
        <f>-1262-H26</f>
        <v>-625</v>
      </c>
      <c r="J26" s="20">
        <f>-1990-I26-H26</f>
        <v>-728</v>
      </c>
      <c r="K26" s="20">
        <f t="shared" si="11"/>
        <v>-715</v>
      </c>
      <c r="L26" s="54">
        <v>-2705</v>
      </c>
      <c r="M26" s="20">
        <v>-557</v>
      </c>
      <c r="N26" s="20">
        <f>-1283-M26</f>
        <v>-726</v>
      </c>
      <c r="O26" s="20">
        <f>-1976-N26-M26</f>
        <v>-693</v>
      </c>
      <c r="P26" s="20">
        <f t="shared" si="12"/>
        <v>-555</v>
      </c>
      <c r="Q26" s="54">
        <v>-2531</v>
      </c>
    </row>
    <row r="27" spans="2:17" x14ac:dyDescent="0.25">
      <c r="B27" s="2" t="s">
        <v>67</v>
      </c>
      <c r="C27" s="20">
        <v>-504</v>
      </c>
      <c r="D27" s="20">
        <f>-933-C27</f>
        <v>-429</v>
      </c>
      <c r="E27" s="7">
        <f>-919-D27-C27</f>
        <v>14</v>
      </c>
      <c r="F27" s="20">
        <f t="shared" si="10"/>
        <v>-87</v>
      </c>
      <c r="G27" s="54">
        <v>-1006</v>
      </c>
      <c r="H27" s="20">
        <v>-168</v>
      </c>
      <c r="I27" s="7">
        <f>-87-H27</f>
        <v>81</v>
      </c>
      <c r="J27" s="20">
        <f>-260-I27-H27</f>
        <v>-173</v>
      </c>
      <c r="K27" s="7">
        <f t="shared" si="11"/>
        <v>47</v>
      </c>
      <c r="L27" s="54">
        <v>-213</v>
      </c>
      <c r="M27" s="20">
        <v>-3</v>
      </c>
      <c r="N27" s="7">
        <f>170-M27</f>
        <v>173</v>
      </c>
      <c r="O27" s="7">
        <f>222-N27-M27</f>
        <v>52</v>
      </c>
      <c r="P27" s="20">
        <f t="shared" si="12"/>
        <v>-18</v>
      </c>
      <c r="Q27" s="51">
        <v>204</v>
      </c>
    </row>
    <row r="28" spans="2:17" x14ac:dyDescent="0.25">
      <c r="B28" s="2" t="s">
        <v>68</v>
      </c>
      <c r="C28" s="8">
        <v>244</v>
      </c>
      <c r="D28" s="8">
        <f>470-C28</f>
        <v>226</v>
      </c>
      <c r="E28" s="22">
        <f>453-D28-C28</f>
        <v>-17</v>
      </c>
      <c r="F28" s="8">
        <f t="shared" si="10"/>
        <v>82</v>
      </c>
      <c r="G28" s="59">
        <v>535</v>
      </c>
      <c r="H28" s="8">
        <v>34</v>
      </c>
      <c r="I28" s="22">
        <f>-97-H28</f>
        <v>-131</v>
      </c>
      <c r="J28" s="8">
        <f>104-I28-H28</f>
        <v>201</v>
      </c>
      <c r="K28" s="22">
        <f t="shared" si="11"/>
        <v>-828</v>
      </c>
      <c r="L28" s="55">
        <v>-724</v>
      </c>
      <c r="M28" s="22">
        <v>-56</v>
      </c>
      <c r="N28" s="22">
        <f>-717-M28</f>
        <v>-661</v>
      </c>
      <c r="O28" s="22">
        <f>-964-N28-M28</f>
        <v>-247</v>
      </c>
      <c r="P28" s="22">
        <f t="shared" si="12"/>
        <v>-13</v>
      </c>
      <c r="Q28" s="55">
        <v>-977</v>
      </c>
    </row>
    <row r="29" spans="2:17" x14ac:dyDescent="0.25">
      <c r="B29" s="2"/>
      <c r="C29" s="19">
        <f t="shared" ref="C29:Q29" si="13">SUM(C25:C28)</f>
        <v>-468</v>
      </c>
      <c r="D29" s="19">
        <f t="shared" si="13"/>
        <v>-567</v>
      </c>
      <c r="E29" s="19">
        <f t="shared" si="13"/>
        <v>-335</v>
      </c>
      <c r="F29" s="19">
        <f t="shared" si="13"/>
        <v>-347</v>
      </c>
      <c r="G29" s="52">
        <f t="shared" si="13"/>
        <v>-1717</v>
      </c>
      <c r="H29" s="19">
        <f t="shared" si="13"/>
        <v>-479</v>
      </c>
      <c r="I29" s="19">
        <f t="shared" si="13"/>
        <v>-197</v>
      </c>
      <c r="J29" s="19">
        <f t="shared" si="13"/>
        <v>-498</v>
      </c>
      <c r="K29" s="19">
        <f t="shared" si="13"/>
        <v>-1315</v>
      </c>
      <c r="L29" s="52">
        <f t="shared" si="13"/>
        <v>-2489</v>
      </c>
      <c r="M29" s="19">
        <f t="shared" si="13"/>
        <v>-390</v>
      </c>
      <c r="N29" s="19">
        <f t="shared" si="13"/>
        <v>-903</v>
      </c>
      <c r="O29" s="19">
        <f t="shared" si="13"/>
        <v>-625</v>
      </c>
      <c r="P29" s="19">
        <f t="shared" si="13"/>
        <v>-125</v>
      </c>
      <c r="Q29" s="52">
        <f t="shared" si="13"/>
        <v>-2043</v>
      </c>
    </row>
    <row r="30" spans="2:17" x14ac:dyDescent="0.25">
      <c r="B30" s="12" t="s">
        <v>69</v>
      </c>
      <c r="C30" s="14">
        <f t="shared" ref="C30:Q30" si="14">C17+C23+C29</f>
        <v>365</v>
      </c>
      <c r="D30" s="14">
        <f t="shared" si="14"/>
        <v>334</v>
      </c>
      <c r="E30" s="14">
        <f t="shared" si="14"/>
        <v>288</v>
      </c>
      <c r="F30" s="24">
        <f t="shared" si="14"/>
        <v>-2327</v>
      </c>
      <c r="G30" s="57">
        <f t="shared" si="14"/>
        <v>-1340</v>
      </c>
      <c r="H30" s="24">
        <f t="shared" si="14"/>
        <v>-357</v>
      </c>
      <c r="I30" s="14">
        <f t="shared" si="14"/>
        <v>903</v>
      </c>
      <c r="J30" s="14">
        <f t="shared" si="14"/>
        <v>551</v>
      </c>
      <c r="K30" s="25">
        <f t="shared" si="14"/>
        <v>-3</v>
      </c>
      <c r="L30" s="64">
        <f t="shared" si="14"/>
        <v>1094</v>
      </c>
      <c r="M30" s="14">
        <f t="shared" si="14"/>
        <v>515</v>
      </c>
      <c r="N30" s="14">
        <f t="shared" si="14"/>
        <v>224</v>
      </c>
      <c r="O30" s="14">
        <f t="shared" si="14"/>
        <v>267</v>
      </c>
      <c r="P30" s="14">
        <f t="shared" si="14"/>
        <v>2230</v>
      </c>
      <c r="Q30" s="64">
        <f t="shared" si="14"/>
        <v>3236</v>
      </c>
    </row>
    <row r="31" spans="2:17" x14ac:dyDescent="0.25">
      <c r="B31" s="2"/>
      <c r="C31" s="7"/>
      <c r="D31" s="7"/>
      <c r="E31" s="7"/>
      <c r="F31" s="7"/>
      <c r="G31" s="51"/>
      <c r="H31" s="7"/>
      <c r="I31" s="7"/>
      <c r="J31" s="7"/>
      <c r="K31" s="7"/>
      <c r="L31" s="51"/>
      <c r="M31" s="7"/>
      <c r="N31" s="7"/>
      <c r="O31" s="7"/>
      <c r="P31" s="7"/>
      <c r="Q31" s="51"/>
    </row>
    <row r="32" spans="2:17" x14ac:dyDescent="0.25">
      <c r="B32" s="1" t="s">
        <v>79</v>
      </c>
      <c r="C32" s="7"/>
      <c r="D32" s="7"/>
      <c r="E32" s="7"/>
      <c r="F32" s="7"/>
      <c r="G32" s="51"/>
      <c r="H32" s="7"/>
      <c r="I32" s="7"/>
      <c r="J32" s="7"/>
      <c r="K32" s="7"/>
      <c r="L32" s="51"/>
      <c r="M32" s="7"/>
      <c r="N32" s="7"/>
      <c r="O32" s="7"/>
      <c r="P32" s="7"/>
      <c r="Q32" s="51"/>
    </row>
    <row r="33" spans="1:17" x14ac:dyDescent="0.25">
      <c r="B33" s="2" t="s">
        <v>70</v>
      </c>
      <c r="C33" s="20">
        <v>-115</v>
      </c>
      <c r="D33" s="20">
        <f>-307-C33</f>
        <v>-192</v>
      </c>
      <c r="E33" s="20">
        <f>-488-D33-C33</f>
        <v>-181</v>
      </c>
      <c r="F33" s="7">
        <f t="shared" ref="F33:F34" si="15">G33-E33-D33-C33</f>
        <v>7</v>
      </c>
      <c r="G33" s="54">
        <v>-481</v>
      </c>
      <c r="H33" s="20">
        <v>-86</v>
      </c>
      <c r="I33" s="20">
        <f>-204-H33</f>
        <v>-118</v>
      </c>
      <c r="J33" s="20">
        <f>-482-I33-H33</f>
        <v>-278</v>
      </c>
      <c r="K33" s="20">
        <f t="shared" ref="K33:K34" si="16">L33-J33-I33-H33</f>
        <v>-240</v>
      </c>
      <c r="L33" s="54">
        <v>-722</v>
      </c>
      <c r="M33" s="20">
        <v>-202</v>
      </c>
      <c r="N33" s="20">
        <f>-289-M33</f>
        <v>-87</v>
      </c>
      <c r="O33" s="20">
        <f>-399-N33-M33</f>
        <v>-110</v>
      </c>
      <c r="P33" s="20">
        <f t="shared" ref="P33:P34" si="17">Q33-O33-N33-M33</f>
        <v>-57</v>
      </c>
      <c r="Q33" s="54">
        <v>-456</v>
      </c>
    </row>
    <row r="34" spans="1:17" x14ac:dyDescent="0.25">
      <c r="B34" s="2" t="s">
        <v>71</v>
      </c>
      <c r="C34" s="20">
        <v>-27</v>
      </c>
      <c r="D34" s="7">
        <f>167-C34</f>
        <v>194</v>
      </c>
      <c r="E34" s="7">
        <f>300-D34-C34</f>
        <v>133</v>
      </c>
      <c r="F34" s="7">
        <f t="shared" si="15"/>
        <v>570</v>
      </c>
      <c r="G34" s="51">
        <v>870</v>
      </c>
      <c r="H34" s="20">
        <v>-10</v>
      </c>
      <c r="I34" s="20">
        <f>-48-H34</f>
        <v>-38</v>
      </c>
      <c r="J34" s="7">
        <f>323-I34-H34</f>
        <v>371</v>
      </c>
      <c r="K34" s="7">
        <f t="shared" si="16"/>
        <v>263</v>
      </c>
      <c r="L34" s="51">
        <v>586</v>
      </c>
      <c r="M34" s="20">
        <v>-53</v>
      </c>
      <c r="N34" s="20">
        <f>-56-M34</f>
        <v>-3</v>
      </c>
      <c r="O34" s="7">
        <f>-31-N34-M34</f>
        <v>25</v>
      </c>
      <c r="P34" s="20">
        <f t="shared" si="17"/>
        <v>-577</v>
      </c>
      <c r="Q34" s="54">
        <v>-608</v>
      </c>
    </row>
    <row r="35" spans="1:17" x14ac:dyDescent="0.25">
      <c r="B35" s="2"/>
      <c r="C35" s="21">
        <f t="shared" ref="C35:Q35" si="18">SUM(C33:C34)</f>
        <v>-142</v>
      </c>
      <c r="D35" s="10">
        <f t="shared" si="18"/>
        <v>2</v>
      </c>
      <c r="E35" s="21">
        <f t="shared" si="18"/>
        <v>-48</v>
      </c>
      <c r="F35" s="10">
        <f t="shared" si="18"/>
        <v>577</v>
      </c>
      <c r="G35" s="61">
        <f t="shared" si="18"/>
        <v>389</v>
      </c>
      <c r="H35" s="21">
        <f t="shared" si="18"/>
        <v>-96</v>
      </c>
      <c r="I35" s="21">
        <f t="shared" si="18"/>
        <v>-156</v>
      </c>
      <c r="J35" s="10">
        <f t="shared" si="18"/>
        <v>93</v>
      </c>
      <c r="K35" s="10">
        <f t="shared" si="18"/>
        <v>23</v>
      </c>
      <c r="L35" s="56">
        <f t="shared" si="18"/>
        <v>-136</v>
      </c>
      <c r="M35" s="21">
        <f t="shared" si="18"/>
        <v>-255</v>
      </c>
      <c r="N35" s="21">
        <f t="shared" si="18"/>
        <v>-90</v>
      </c>
      <c r="O35" s="21">
        <f t="shared" si="18"/>
        <v>-85</v>
      </c>
      <c r="P35" s="21">
        <f t="shared" si="18"/>
        <v>-634</v>
      </c>
      <c r="Q35" s="56">
        <f t="shared" si="18"/>
        <v>-1064</v>
      </c>
    </row>
    <row r="36" spans="1:17" x14ac:dyDescent="0.25">
      <c r="B36" s="12" t="s">
        <v>72</v>
      </c>
      <c r="C36" s="14">
        <f t="shared" ref="C36:Q36" si="19">C30+C35</f>
        <v>223</v>
      </c>
      <c r="D36" s="14">
        <f t="shared" si="19"/>
        <v>336</v>
      </c>
      <c r="E36" s="14">
        <f t="shared" si="19"/>
        <v>240</v>
      </c>
      <c r="F36" s="25">
        <f t="shared" si="19"/>
        <v>-1750</v>
      </c>
      <c r="G36" s="62">
        <f t="shared" si="19"/>
        <v>-951</v>
      </c>
      <c r="H36" s="25">
        <f t="shared" si="19"/>
        <v>-453</v>
      </c>
      <c r="I36" s="14">
        <f t="shared" si="19"/>
        <v>747</v>
      </c>
      <c r="J36" s="14">
        <f t="shared" si="19"/>
        <v>644</v>
      </c>
      <c r="K36" s="14">
        <f t="shared" si="19"/>
        <v>20</v>
      </c>
      <c r="L36" s="64">
        <f t="shared" si="19"/>
        <v>958</v>
      </c>
      <c r="M36" s="14">
        <f t="shared" si="19"/>
        <v>260</v>
      </c>
      <c r="N36" s="14">
        <f t="shared" si="19"/>
        <v>134</v>
      </c>
      <c r="O36" s="14">
        <f t="shared" si="19"/>
        <v>182</v>
      </c>
      <c r="P36" s="14">
        <f t="shared" si="19"/>
        <v>1596</v>
      </c>
      <c r="Q36" s="64">
        <f t="shared" si="19"/>
        <v>2172</v>
      </c>
    </row>
    <row r="37" spans="1:17" x14ac:dyDescent="0.25">
      <c r="B37" s="2"/>
      <c r="C37" s="7"/>
      <c r="D37" s="7"/>
      <c r="E37" s="7"/>
      <c r="F37" s="7"/>
      <c r="G37" s="51"/>
      <c r="H37" s="7"/>
      <c r="I37" s="7"/>
      <c r="J37" s="7"/>
      <c r="K37" s="7"/>
      <c r="L37" s="51"/>
      <c r="M37" s="7"/>
      <c r="N37" s="7"/>
      <c r="O37" s="7"/>
      <c r="P37" s="7"/>
      <c r="Q37" s="51"/>
    </row>
    <row r="38" spans="1:17" x14ac:dyDescent="0.25">
      <c r="B38" s="1" t="s">
        <v>73</v>
      </c>
      <c r="C38" s="7"/>
      <c r="D38" s="7"/>
      <c r="E38" s="7"/>
      <c r="F38" s="7"/>
      <c r="G38" s="51"/>
      <c r="H38" s="7"/>
      <c r="I38" s="7"/>
      <c r="J38" s="7"/>
      <c r="K38" s="7"/>
      <c r="L38" s="51"/>
      <c r="M38" s="7"/>
      <c r="N38" s="7"/>
      <c r="O38" s="7"/>
      <c r="P38" s="7"/>
      <c r="Q38" s="51"/>
    </row>
    <row r="39" spans="1:17" x14ac:dyDescent="0.25">
      <c r="B39" s="2" t="s">
        <v>74</v>
      </c>
      <c r="C39" s="20">
        <v>-79</v>
      </c>
      <c r="D39" s="20">
        <f>-97-C39</f>
        <v>-18</v>
      </c>
      <c r="E39" s="20">
        <f>-188-D39-C39</f>
        <v>-91</v>
      </c>
      <c r="F39" s="20">
        <f t="shared" ref="F39" si="20">G39-E39-D39-C39</f>
        <v>-112</v>
      </c>
      <c r="G39" s="54">
        <v>-300</v>
      </c>
      <c r="H39" s="20">
        <v>-93</v>
      </c>
      <c r="I39" s="20">
        <f>-286-H39</f>
        <v>-193</v>
      </c>
      <c r="J39" s="20">
        <f>-410-I39-H39</f>
        <v>-124</v>
      </c>
      <c r="K39" s="7">
        <f t="shared" ref="K39" si="21">L39-J39-I39-H39</f>
        <v>262</v>
      </c>
      <c r="L39" s="54">
        <v>-148</v>
      </c>
      <c r="M39" s="20">
        <v>-110</v>
      </c>
      <c r="N39" s="20">
        <f>-161-M39</f>
        <v>-51</v>
      </c>
      <c r="O39" s="20">
        <f>-168-N39-M39</f>
        <v>-7</v>
      </c>
      <c r="P39" s="20">
        <f t="shared" ref="P39" si="22">Q39-O39-N39-M39</f>
        <v>-50</v>
      </c>
      <c r="Q39" s="54">
        <v>-218</v>
      </c>
    </row>
    <row r="40" spans="1:17" ht="15.75" thickBot="1" x14ac:dyDescent="0.3">
      <c r="B40" s="1" t="s">
        <v>75</v>
      </c>
      <c r="C40" s="15">
        <f t="shared" ref="C40:Q40" si="23">C36+C39</f>
        <v>144</v>
      </c>
      <c r="D40" s="15">
        <f t="shared" si="23"/>
        <v>318</v>
      </c>
      <c r="E40" s="15">
        <f t="shared" si="23"/>
        <v>149</v>
      </c>
      <c r="F40" s="26">
        <f t="shared" si="23"/>
        <v>-1862</v>
      </c>
      <c r="G40" s="63">
        <f t="shared" si="23"/>
        <v>-1251</v>
      </c>
      <c r="H40" s="26">
        <f t="shared" si="23"/>
        <v>-546</v>
      </c>
      <c r="I40" s="15">
        <f t="shared" si="23"/>
        <v>554</v>
      </c>
      <c r="J40" s="15">
        <f t="shared" si="23"/>
        <v>520</v>
      </c>
      <c r="K40" s="15">
        <f t="shared" si="23"/>
        <v>282</v>
      </c>
      <c r="L40" s="65">
        <f t="shared" si="23"/>
        <v>810</v>
      </c>
      <c r="M40" s="15">
        <f t="shared" si="23"/>
        <v>150</v>
      </c>
      <c r="N40" s="15">
        <f t="shared" si="23"/>
        <v>83</v>
      </c>
      <c r="O40" s="15">
        <f t="shared" si="23"/>
        <v>175</v>
      </c>
      <c r="P40" s="15">
        <f t="shared" si="23"/>
        <v>1546</v>
      </c>
      <c r="Q40" s="65">
        <f t="shared" si="23"/>
        <v>1954</v>
      </c>
    </row>
    <row r="41" spans="1:17" ht="15.75" thickTop="1" x14ac:dyDescent="0.25">
      <c r="B41" s="2"/>
      <c r="C41" s="7"/>
      <c r="D41" s="7"/>
      <c r="E41" s="7"/>
      <c r="F41" s="7"/>
      <c r="G41" s="51"/>
      <c r="H41" s="7"/>
      <c r="I41" s="7"/>
      <c r="J41" s="7"/>
      <c r="K41" s="7"/>
      <c r="L41" s="51"/>
      <c r="M41" s="7"/>
      <c r="N41" s="7"/>
      <c r="O41" s="7"/>
      <c r="P41" s="7"/>
      <c r="Q41" s="51"/>
    </row>
    <row r="42" spans="1:17" x14ac:dyDescent="0.25">
      <c r="B42" s="2" t="s">
        <v>76</v>
      </c>
      <c r="C42" s="7">
        <v>148</v>
      </c>
      <c r="D42" s="7">
        <f>402-C42</f>
        <v>254</v>
      </c>
      <c r="E42" s="7">
        <f>505-D42-C42</f>
        <v>103</v>
      </c>
      <c r="F42" s="20">
        <f t="shared" ref="F42:F43" si="24">G42-E42-D42-C42</f>
        <v>-1801</v>
      </c>
      <c r="G42" s="54">
        <v>-1296</v>
      </c>
      <c r="H42" s="20">
        <v>-573</v>
      </c>
      <c r="I42" s="7">
        <f>10-H42</f>
        <v>583</v>
      </c>
      <c r="J42" s="7">
        <f>479-I42-H42</f>
        <v>469</v>
      </c>
      <c r="K42" s="7">
        <f t="shared" ref="K42:K43" si="25">L42-J42-I42-H42</f>
        <v>111</v>
      </c>
      <c r="L42" s="51">
        <v>590</v>
      </c>
      <c r="M42" s="7">
        <v>52</v>
      </c>
      <c r="N42" s="7">
        <f>146-M42</f>
        <v>94</v>
      </c>
      <c r="O42" s="7">
        <f>293-N42-M42</f>
        <v>147</v>
      </c>
      <c r="P42" s="7">
        <f t="shared" ref="P42:P43" si="26">Q42-O42-N42-M42</f>
        <v>1453</v>
      </c>
      <c r="Q42" s="51">
        <v>1746</v>
      </c>
    </row>
    <row r="43" spans="1:17" x14ac:dyDescent="0.25">
      <c r="B43" s="2" t="s">
        <v>77</v>
      </c>
      <c r="C43" s="20">
        <v>-4</v>
      </c>
      <c r="D43" s="7">
        <f>60-C43</f>
        <v>64</v>
      </c>
      <c r="E43" s="7">
        <f>106-D43-C43</f>
        <v>46</v>
      </c>
      <c r="F43" s="20">
        <f t="shared" si="24"/>
        <v>-61</v>
      </c>
      <c r="G43" s="51">
        <v>45</v>
      </c>
      <c r="H43" s="7">
        <v>27</v>
      </c>
      <c r="I43" s="20">
        <f>-2-H43</f>
        <v>-29</v>
      </c>
      <c r="J43" s="7">
        <f>49-I43-H43</f>
        <v>51</v>
      </c>
      <c r="K43" s="7">
        <f t="shared" si="25"/>
        <v>171</v>
      </c>
      <c r="L43" s="51">
        <v>220</v>
      </c>
      <c r="M43" s="7">
        <v>98</v>
      </c>
      <c r="N43" s="20">
        <f>87-M43</f>
        <v>-11</v>
      </c>
      <c r="O43" s="7">
        <f>115-N43-M43</f>
        <v>28</v>
      </c>
      <c r="P43" s="7">
        <f t="shared" si="26"/>
        <v>93</v>
      </c>
      <c r="Q43" s="51">
        <v>208</v>
      </c>
    </row>
    <row r="44" spans="1:17" ht="15.75" thickBot="1" x14ac:dyDescent="0.3">
      <c r="B44" s="1" t="s">
        <v>78</v>
      </c>
      <c r="C44" s="15">
        <f t="shared" ref="C44:Q44" si="27">C42+C43</f>
        <v>144</v>
      </c>
      <c r="D44" s="15">
        <f t="shared" si="27"/>
        <v>318</v>
      </c>
      <c r="E44" s="15">
        <f t="shared" si="27"/>
        <v>149</v>
      </c>
      <c r="F44" s="26">
        <f t="shared" si="27"/>
        <v>-1862</v>
      </c>
      <c r="G44" s="63">
        <f t="shared" si="27"/>
        <v>-1251</v>
      </c>
      <c r="H44" s="26">
        <f t="shared" si="27"/>
        <v>-546</v>
      </c>
      <c r="I44" s="15">
        <f t="shared" si="27"/>
        <v>554</v>
      </c>
      <c r="J44" s="15">
        <f t="shared" si="27"/>
        <v>520</v>
      </c>
      <c r="K44" s="15">
        <f t="shared" si="27"/>
        <v>282</v>
      </c>
      <c r="L44" s="65">
        <f t="shared" si="27"/>
        <v>810</v>
      </c>
      <c r="M44" s="15">
        <f t="shared" si="27"/>
        <v>150</v>
      </c>
      <c r="N44" s="15">
        <f t="shared" si="27"/>
        <v>83</v>
      </c>
      <c r="O44" s="15">
        <f t="shared" si="27"/>
        <v>175</v>
      </c>
      <c r="P44" s="15">
        <f t="shared" si="27"/>
        <v>1546</v>
      </c>
      <c r="Q44" s="65">
        <f t="shared" si="27"/>
        <v>1954</v>
      </c>
    </row>
    <row r="45" spans="1:17" ht="15.75" thickTop="1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x14ac:dyDescent="0.25">
      <c r="A46" s="36"/>
      <c r="B46" s="3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3:17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3:17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3:17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3:17" x14ac:dyDescent="0.2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3:17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</sheetData>
  <mergeCells count="3">
    <mergeCell ref="C4:G5"/>
    <mergeCell ref="H4:L5"/>
    <mergeCell ref="M4:Q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3"/>
  <sheetViews>
    <sheetView showGridLine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4" sqref="B4"/>
    </sheetView>
  </sheetViews>
  <sheetFormatPr defaultRowHeight="15" x14ac:dyDescent="0.25"/>
  <cols>
    <col min="1" max="1" width="3.42578125" customWidth="1"/>
    <col min="2" max="2" width="83.42578125" bestFit="1" customWidth="1"/>
    <col min="3" max="17" width="18" customWidth="1"/>
  </cols>
  <sheetData>
    <row r="2" spans="2:17" x14ac:dyDescent="0.25">
      <c r="F2" s="33"/>
      <c r="H2" s="33"/>
      <c r="K2" s="33"/>
      <c r="P2" s="33"/>
    </row>
    <row r="4" spans="2:17" x14ac:dyDescent="0.25">
      <c r="B4" s="3"/>
      <c r="C4" s="72" t="s">
        <v>0</v>
      </c>
      <c r="D4" s="72"/>
      <c r="E4" s="72"/>
      <c r="F4" s="72"/>
      <c r="G4" s="72"/>
      <c r="H4" s="73" t="s">
        <v>1</v>
      </c>
      <c r="I4" s="73"/>
      <c r="J4" s="73"/>
      <c r="K4" s="73"/>
      <c r="L4" s="73"/>
      <c r="M4" s="73" t="s">
        <v>2</v>
      </c>
      <c r="N4" s="73"/>
      <c r="O4" s="73"/>
      <c r="P4" s="73"/>
      <c r="Q4" s="73"/>
    </row>
    <row r="5" spans="2:17" ht="15.75" x14ac:dyDescent="0.25">
      <c r="B5" s="4" t="s">
        <v>185</v>
      </c>
      <c r="C5" s="72"/>
      <c r="D5" s="72"/>
      <c r="E5" s="72"/>
      <c r="F5" s="72"/>
      <c r="G5" s="72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2:17" ht="15.75" x14ac:dyDescent="0.25">
      <c r="B6" s="4" t="s">
        <v>147</v>
      </c>
      <c r="C6" s="47" t="s">
        <v>149</v>
      </c>
      <c r="D6" s="47" t="s">
        <v>150</v>
      </c>
      <c r="E6" s="47" t="s">
        <v>151</v>
      </c>
      <c r="F6" s="47" t="s">
        <v>152</v>
      </c>
      <c r="G6" s="47" t="s">
        <v>0</v>
      </c>
      <c r="H6" s="47" t="s">
        <v>153</v>
      </c>
      <c r="I6" s="47" t="s">
        <v>154</v>
      </c>
      <c r="J6" s="47" t="s">
        <v>155</v>
      </c>
      <c r="K6" s="47" t="s">
        <v>156</v>
      </c>
      <c r="L6" s="47" t="s">
        <v>1</v>
      </c>
      <c r="M6" s="47" t="s">
        <v>157</v>
      </c>
      <c r="N6" s="47" t="s">
        <v>158</v>
      </c>
      <c r="O6" s="47" t="s">
        <v>159</v>
      </c>
      <c r="P6" s="47" t="s">
        <v>160</v>
      </c>
      <c r="Q6" s="47">
        <v>2018</v>
      </c>
    </row>
    <row r="7" spans="2:17" x14ac:dyDescent="0.25">
      <c r="B7" s="12" t="s">
        <v>80</v>
      </c>
      <c r="G7" s="50"/>
      <c r="L7" s="50"/>
      <c r="Q7" s="50"/>
    </row>
    <row r="8" spans="2:17" x14ac:dyDescent="0.25">
      <c r="B8" s="12"/>
      <c r="G8" s="50"/>
      <c r="L8" s="50"/>
      <c r="Q8" s="50"/>
    </row>
    <row r="9" spans="2:17" s="16" customFormat="1" x14ac:dyDescent="0.25">
      <c r="B9" s="1" t="s">
        <v>69</v>
      </c>
      <c r="C9" s="27">
        <v>365</v>
      </c>
      <c r="D9" s="27">
        <f>699-C9</f>
        <v>334</v>
      </c>
      <c r="E9" s="27">
        <f>987-C9-D9</f>
        <v>288</v>
      </c>
      <c r="F9" s="34">
        <f>G9-SUM(C9:E9)</f>
        <v>-2327</v>
      </c>
      <c r="G9" s="66">
        <v>-1340</v>
      </c>
      <c r="H9" s="34">
        <v>-357</v>
      </c>
      <c r="I9" s="27">
        <f>546-H9</f>
        <v>903</v>
      </c>
      <c r="J9" s="27">
        <f>1097-I9-H9</f>
        <v>551</v>
      </c>
      <c r="K9" s="34">
        <f>L9-SUM(H9:J9)</f>
        <v>-3</v>
      </c>
      <c r="L9" s="68">
        <v>1094</v>
      </c>
      <c r="M9" s="27">
        <v>515</v>
      </c>
      <c r="N9" s="27">
        <f>739-M9</f>
        <v>224</v>
      </c>
      <c r="O9" s="27">
        <f>1006-N9-M9</f>
        <v>267</v>
      </c>
      <c r="P9" s="27">
        <f>Q9-SUM(M9:O9)</f>
        <v>2230</v>
      </c>
      <c r="Q9" s="68">
        <f>3236</f>
        <v>3236</v>
      </c>
    </row>
    <row r="10" spans="2:17" x14ac:dyDescent="0.25">
      <c r="B10" s="2"/>
      <c r="C10" s="7"/>
      <c r="D10" s="7"/>
      <c r="E10" s="7"/>
      <c r="F10" s="7"/>
      <c r="G10" s="51"/>
      <c r="H10" s="7"/>
      <c r="I10" s="7"/>
      <c r="J10" s="7"/>
      <c r="K10" s="7"/>
      <c r="L10" s="51"/>
      <c r="M10" s="7"/>
      <c r="N10" s="7"/>
      <c r="O10" s="7"/>
      <c r="P10" s="7"/>
      <c r="Q10" s="51"/>
    </row>
    <row r="11" spans="2:17" x14ac:dyDescent="0.25">
      <c r="B11" s="2" t="s">
        <v>74</v>
      </c>
      <c r="C11" s="20">
        <v>-79</v>
      </c>
      <c r="D11" s="20">
        <f>-97-C11</f>
        <v>-18</v>
      </c>
      <c r="E11" s="20">
        <f>-188-C11-D11</f>
        <v>-91</v>
      </c>
      <c r="F11" s="20">
        <f>G11-SUM(C11:E11)</f>
        <v>-112</v>
      </c>
      <c r="G11" s="54">
        <v>-300</v>
      </c>
      <c r="H11" s="20">
        <v>-93</v>
      </c>
      <c r="I11" s="20">
        <f>-286-H11</f>
        <v>-193</v>
      </c>
      <c r="J11" s="20">
        <f>-410-H11-I11</f>
        <v>-124</v>
      </c>
      <c r="K11" s="7">
        <f>L11-SUM(H11:J11)</f>
        <v>262</v>
      </c>
      <c r="L11" s="54">
        <v>-148</v>
      </c>
      <c r="M11" s="20">
        <v>-110</v>
      </c>
      <c r="N11" s="20">
        <f>-161-M11</f>
        <v>-51</v>
      </c>
      <c r="O11" s="7">
        <f>-168-M11-M11</f>
        <v>52</v>
      </c>
      <c r="P11" s="20">
        <f>Q11-SUM(M11:O11)</f>
        <v>-109</v>
      </c>
      <c r="Q11" s="54">
        <v>-218</v>
      </c>
    </row>
    <row r="12" spans="2:17" x14ac:dyDescent="0.25">
      <c r="B12" s="2"/>
      <c r="C12" s="20"/>
      <c r="D12" s="20"/>
      <c r="E12" s="20"/>
      <c r="F12" s="20"/>
      <c r="G12" s="54"/>
      <c r="H12" s="20"/>
      <c r="I12" s="20"/>
      <c r="J12" s="20"/>
      <c r="K12" s="7"/>
      <c r="L12" s="54"/>
      <c r="M12" s="20"/>
      <c r="N12" s="20"/>
      <c r="O12" s="7"/>
      <c r="P12" s="20"/>
      <c r="Q12" s="54"/>
    </row>
    <row r="13" spans="2:17" x14ac:dyDescent="0.25">
      <c r="B13" s="2" t="s">
        <v>81</v>
      </c>
      <c r="C13" s="20"/>
      <c r="D13" s="20"/>
      <c r="E13" s="20"/>
      <c r="F13" s="20"/>
      <c r="G13" s="54"/>
      <c r="H13" s="20"/>
      <c r="I13" s="20"/>
      <c r="J13" s="20"/>
      <c r="K13" s="20"/>
      <c r="L13" s="54"/>
      <c r="M13" s="20"/>
      <c r="N13" s="20"/>
      <c r="O13" s="20"/>
      <c r="P13" s="20"/>
      <c r="Q13" s="54"/>
    </row>
    <row r="14" spans="2:17" x14ac:dyDescent="0.25">
      <c r="B14" s="37" t="s">
        <v>135</v>
      </c>
      <c r="C14" s="7">
        <v>0</v>
      </c>
      <c r="D14" s="7">
        <v>0</v>
      </c>
      <c r="E14" s="7">
        <v>0</v>
      </c>
      <c r="F14" s="7">
        <f t="shared" ref="F14:F35" si="0">G14-SUM(C14:E14)</f>
        <v>0</v>
      </c>
      <c r="G14" s="51">
        <v>0</v>
      </c>
      <c r="H14" s="7">
        <v>0</v>
      </c>
      <c r="I14" s="7">
        <v>0</v>
      </c>
      <c r="J14" s="7">
        <v>0</v>
      </c>
      <c r="K14" s="20">
        <f t="shared" ref="K14:K35" si="1">L14-SUM(H14:J14)</f>
        <v>-23</v>
      </c>
      <c r="L14" s="54">
        <f>-133-118+228</f>
        <v>-23</v>
      </c>
      <c r="M14" s="7">
        <v>0</v>
      </c>
      <c r="N14" s="7">
        <v>0</v>
      </c>
      <c r="O14" s="7">
        <v>0</v>
      </c>
      <c r="P14" s="7">
        <f t="shared" ref="P14:P35" si="2">Q14-SUM(M14:O14)</f>
        <v>0</v>
      </c>
      <c r="Q14" s="51">
        <v>0</v>
      </c>
    </row>
    <row r="15" spans="2:17" x14ac:dyDescent="0.25">
      <c r="B15" s="2" t="s">
        <v>82</v>
      </c>
      <c r="C15" s="7">
        <v>688</v>
      </c>
      <c r="D15" s="7">
        <f>1340-C15</f>
        <v>652</v>
      </c>
      <c r="E15" s="7">
        <f>1961-C15-D15</f>
        <v>621</v>
      </c>
      <c r="F15" s="7">
        <f t="shared" si="0"/>
        <v>642</v>
      </c>
      <c r="G15" s="51">
        <v>2603</v>
      </c>
      <c r="H15" s="7">
        <v>592</v>
      </c>
      <c r="I15" s="7">
        <f>1171-H15</f>
        <v>579</v>
      </c>
      <c r="J15" s="7">
        <f>1730-H15-I15</f>
        <v>559</v>
      </c>
      <c r="K15" s="7">
        <f t="shared" si="1"/>
        <v>595</v>
      </c>
      <c r="L15" s="51">
        <v>2325</v>
      </c>
      <c r="M15" s="7">
        <v>609</v>
      </c>
      <c r="N15" s="7">
        <f>1246-M15</f>
        <v>637</v>
      </c>
      <c r="O15" s="7">
        <f>1905-M15-N15</f>
        <v>659</v>
      </c>
      <c r="P15" s="7">
        <f t="shared" si="2"/>
        <v>565</v>
      </c>
      <c r="Q15" s="51">
        <v>2470</v>
      </c>
    </row>
    <row r="16" spans="2:17" x14ac:dyDescent="0.25">
      <c r="B16" s="2" t="s">
        <v>83</v>
      </c>
      <c r="C16" s="20">
        <v>-291</v>
      </c>
      <c r="D16" s="20">
        <f>-586-C16</f>
        <v>-295</v>
      </c>
      <c r="E16" s="7">
        <f>-558-C16-D16</f>
        <v>28</v>
      </c>
      <c r="F16" s="20">
        <f t="shared" si="0"/>
        <v>-166</v>
      </c>
      <c r="G16" s="54">
        <v>-724</v>
      </c>
      <c r="H16" s="20">
        <v>-134</v>
      </c>
      <c r="I16" s="20">
        <f>-484-H16</f>
        <v>-350</v>
      </c>
      <c r="J16" s="20">
        <f>-931-H16-I16</f>
        <v>-447</v>
      </c>
      <c r="K16" s="20">
        <f t="shared" si="1"/>
        <v>-288</v>
      </c>
      <c r="L16" s="54">
        <v>-1219</v>
      </c>
      <c r="M16" s="20">
        <v>-389</v>
      </c>
      <c r="N16" s="20">
        <f>-441-M16</f>
        <v>-52</v>
      </c>
      <c r="O16" s="20">
        <f>-562-M16-N16</f>
        <v>-121</v>
      </c>
      <c r="P16" s="20">
        <f t="shared" si="2"/>
        <v>-252</v>
      </c>
      <c r="Q16" s="54">
        <v>-814</v>
      </c>
    </row>
    <row r="17" spans="2:17" x14ac:dyDescent="0.25">
      <c r="B17" s="2" t="s">
        <v>84</v>
      </c>
      <c r="C17" s="7">
        <v>0</v>
      </c>
      <c r="D17" s="7">
        <v>0</v>
      </c>
      <c r="E17" s="7">
        <v>0</v>
      </c>
      <c r="F17" s="7">
        <v>0</v>
      </c>
      <c r="G17" s="51">
        <v>0</v>
      </c>
      <c r="H17" s="7">
        <v>0</v>
      </c>
      <c r="I17" s="7">
        <v>0</v>
      </c>
      <c r="J17" s="7">
        <v>0</v>
      </c>
      <c r="K17" s="7">
        <v>0</v>
      </c>
      <c r="L17" s="51">
        <v>0</v>
      </c>
      <c r="M17" s="7">
        <v>0</v>
      </c>
      <c r="N17" s="7">
        <v>0</v>
      </c>
      <c r="O17" s="7">
        <v>0</v>
      </c>
      <c r="P17" s="20">
        <f t="shared" si="2"/>
        <v>-820</v>
      </c>
      <c r="Q17" s="54">
        <v>-820</v>
      </c>
    </row>
    <row r="18" spans="2:17" x14ac:dyDescent="0.25">
      <c r="B18" s="37" t="s">
        <v>141</v>
      </c>
      <c r="C18" s="7">
        <v>0</v>
      </c>
      <c r="D18" s="20">
        <v>-44</v>
      </c>
      <c r="E18" s="7">
        <f>-44-D18-C18</f>
        <v>0</v>
      </c>
      <c r="F18" s="7">
        <f t="shared" si="0"/>
        <v>0</v>
      </c>
      <c r="G18" s="54">
        <v>-44</v>
      </c>
      <c r="H18" s="7">
        <v>0</v>
      </c>
      <c r="I18" s="20">
        <f>-85-H18</f>
        <v>-85</v>
      </c>
      <c r="J18" s="20">
        <f>-131-H18-I18</f>
        <v>-46</v>
      </c>
      <c r="K18" s="7">
        <f t="shared" si="1"/>
        <v>462</v>
      </c>
      <c r="L18" s="51">
        <v>331</v>
      </c>
      <c r="M18" s="7">
        <v>0</v>
      </c>
      <c r="N18" s="7">
        <v>0</v>
      </c>
      <c r="O18" s="7">
        <v>0</v>
      </c>
      <c r="P18" s="7">
        <f t="shared" si="2"/>
        <v>0</v>
      </c>
      <c r="Q18" s="51">
        <v>0</v>
      </c>
    </row>
    <row r="19" spans="2:17" x14ac:dyDescent="0.25">
      <c r="B19" s="2" t="s">
        <v>85</v>
      </c>
      <c r="C19" s="20">
        <v>-58</v>
      </c>
      <c r="D19" s="7">
        <f>130-C19</f>
        <v>188</v>
      </c>
      <c r="E19" s="7">
        <f>578-C19-D19</f>
        <v>448</v>
      </c>
      <c r="F19" s="7">
        <f t="shared" si="0"/>
        <v>474</v>
      </c>
      <c r="G19" s="51">
        <v>1052</v>
      </c>
      <c r="H19" s="7">
        <v>349</v>
      </c>
      <c r="I19" s="7">
        <f>508-H19</f>
        <v>159</v>
      </c>
      <c r="J19" s="7">
        <f>1095-H19-I19</f>
        <v>587</v>
      </c>
      <c r="K19" s="7">
        <f t="shared" si="1"/>
        <v>911</v>
      </c>
      <c r="L19" s="51">
        <v>2006</v>
      </c>
      <c r="M19" s="7">
        <v>110</v>
      </c>
      <c r="N19" s="7">
        <f>381-M19</f>
        <v>271</v>
      </c>
      <c r="O19" s="7">
        <f>561-M19-N19</f>
        <v>180</v>
      </c>
      <c r="P19" s="20">
        <f t="shared" si="2"/>
        <v>-60</v>
      </c>
      <c r="Q19" s="51">
        <v>501</v>
      </c>
    </row>
    <row r="20" spans="2:17" x14ac:dyDescent="0.25">
      <c r="B20" s="37" t="s">
        <v>143</v>
      </c>
      <c r="C20" s="7">
        <v>0</v>
      </c>
      <c r="D20" s="7">
        <v>0</v>
      </c>
      <c r="E20" s="7">
        <v>0</v>
      </c>
      <c r="F20" s="7">
        <v>0</v>
      </c>
      <c r="G20" s="51"/>
      <c r="H20" s="7">
        <v>0</v>
      </c>
      <c r="I20" s="7">
        <v>0</v>
      </c>
      <c r="J20" s="7">
        <f>0-I20-H20</f>
        <v>0</v>
      </c>
      <c r="K20" s="7">
        <f t="shared" si="1"/>
        <v>0</v>
      </c>
      <c r="L20" s="51">
        <v>0</v>
      </c>
      <c r="M20" s="7">
        <v>0</v>
      </c>
      <c r="N20" s="7">
        <v>0</v>
      </c>
      <c r="O20" s="7">
        <v>0</v>
      </c>
      <c r="P20" s="7">
        <f t="shared" si="2"/>
        <v>0</v>
      </c>
      <c r="Q20" s="51">
        <v>0</v>
      </c>
    </row>
    <row r="21" spans="2:17" x14ac:dyDescent="0.25">
      <c r="B21" s="2" t="s">
        <v>86</v>
      </c>
      <c r="C21" s="20">
        <v>-10</v>
      </c>
      <c r="D21" s="7">
        <f>57-C21</f>
        <v>67</v>
      </c>
      <c r="E21" s="20">
        <f>51-C21-D21</f>
        <v>-6</v>
      </c>
      <c r="F21" s="7">
        <f t="shared" si="0"/>
        <v>2101</v>
      </c>
      <c r="G21" s="51">
        <f>988+1164</f>
        <v>2152</v>
      </c>
      <c r="H21" s="20">
        <v>-26</v>
      </c>
      <c r="I21" s="35">
        <f>-37-H21</f>
        <v>-11</v>
      </c>
      <c r="J21" s="20">
        <f>-51-I21-H21</f>
        <v>-14</v>
      </c>
      <c r="K21" s="7">
        <f t="shared" si="1"/>
        <v>28</v>
      </c>
      <c r="L21" s="54">
        <v>-23</v>
      </c>
      <c r="M21" s="20">
        <v>-7</v>
      </c>
      <c r="N21" s="20">
        <f>-11-M21</f>
        <v>-4</v>
      </c>
      <c r="O21" s="20">
        <f>-16-M21-N21</f>
        <v>-5</v>
      </c>
      <c r="P21" s="20">
        <f t="shared" si="2"/>
        <v>-36</v>
      </c>
      <c r="Q21" s="54">
        <v>-52</v>
      </c>
    </row>
    <row r="22" spans="2:17" x14ac:dyDescent="0.25">
      <c r="B22" s="2" t="s">
        <v>87</v>
      </c>
      <c r="C22" s="20">
        <v>-38</v>
      </c>
      <c r="D22" s="20">
        <f>-43-C22</f>
        <v>-5</v>
      </c>
      <c r="E22" s="7">
        <f>-40-C22-D22</f>
        <v>3</v>
      </c>
      <c r="F22" s="20">
        <f t="shared" si="0"/>
        <v>-109</v>
      </c>
      <c r="G22" s="54">
        <v>-149</v>
      </c>
      <c r="H22" s="7">
        <v>24</v>
      </c>
      <c r="I22" s="20">
        <f>14-H22</f>
        <v>-10</v>
      </c>
      <c r="J22" s="7">
        <f>40-I22-H22</f>
        <v>26</v>
      </c>
      <c r="K22" s="20">
        <f t="shared" si="1"/>
        <v>-44</v>
      </c>
      <c r="L22" s="54">
        <v>-4</v>
      </c>
      <c r="M22" s="20">
        <v>-7</v>
      </c>
      <c r="N22" s="7">
        <v>0</v>
      </c>
      <c r="O22" s="20">
        <f>-51-M22-N22</f>
        <v>-44</v>
      </c>
      <c r="P22" s="7">
        <f t="shared" si="2"/>
        <v>9</v>
      </c>
      <c r="Q22" s="54">
        <v>-42</v>
      </c>
    </row>
    <row r="23" spans="2:17" x14ac:dyDescent="0.25">
      <c r="B23" s="2" t="s">
        <v>88</v>
      </c>
      <c r="C23" s="20">
        <v>-302</v>
      </c>
      <c r="D23" s="20">
        <f>-312-C23</f>
        <v>-10</v>
      </c>
      <c r="E23" s="7">
        <f>-312-C23-D23</f>
        <v>0</v>
      </c>
      <c r="F23" s="7">
        <f t="shared" si="0"/>
        <v>0</v>
      </c>
      <c r="G23" s="54">
        <v>-312</v>
      </c>
      <c r="H23" s="7">
        <v>0</v>
      </c>
      <c r="I23" s="20">
        <f>-16-H23</f>
        <v>-16</v>
      </c>
      <c r="J23" s="7">
        <f>-16-I23-H23</f>
        <v>0</v>
      </c>
      <c r="K23" s="20">
        <f t="shared" si="1"/>
        <v>-609</v>
      </c>
      <c r="L23" s="54">
        <v>-625</v>
      </c>
      <c r="M23" s="7">
        <v>0</v>
      </c>
      <c r="N23" s="20">
        <f>-8-M23</f>
        <v>-8</v>
      </c>
      <c r="O23" s="7">
        <f>-8-M23-N23</f>
        <v>0</v>
      </c>
      <c r="P23" s="20">
        <f t="shared" si="2"/>
        <v>-115</v>
      </c>
      <c r="Q23" s="54">
        <v>-123</v>
      </c>
    </row>
    <row r="24" spans="2:17" x14ac:dyDescent="0.25">
      <c r="B24" s="37" t="s">
        <v>145</v>
      </c>
      <c r="C24" s="7">
        <v>0</v>
      </c>
      <c r="D24" s="7">
        <v>0</v>
      </c>
      <c r="E24" s="7">
        <v>0</v>
      </c>
      <c r="F24" s="7">
        <v>0</v>
      </c>
      <c r="G24" s="51">
        <v>0</v>
      </c>
      <c r="H24" s="7">
        <v>0</v>
      </c>
      <c r="I24" s="7">
        <v>0</v>
      </c>
      <c r="J24" s="7">
        <f>0-I24-H24</f>
        <v>0</v>
      </c>
      <c r="K24" s="7">
        <f t="shared" si="1"/>
        <v>0</v>
      </c>
      <c r="L24" s="51">
        <v>0</v>
      </c>
      <c r="M24" s="7">
        <v>0</v>
      </c>
      <c r="N24" s="7">
        <v>0</v>
      </c>
      <c r="O24" s="7">
        <f>0-M24-N24</f>
        <v>0</v>
      </c>
      <c r="P24" s="7">
        <f t="shared" si="2"/>
        <v>0</v>
      </c>
      <c r="Q24" s="51">
        <v>0</v>
      </c>
    </row>
    <row r="25" spans="2:17" x14ac:dyDescent="0.25">
      <c r="B25" s="37" t="s">
        <v>138</v>
      </c>
      <c r="C25" s="7">
        <v>0</v>
      </c>
      <c r="D25" s="7">
        <v>38</v>
      </c>
      <c r="E25" s="7">
        <f>42-C25-D25</f>
        <v>4</v>
      </c>
      <c r="F25" s="20">
        <f t="shared" si="0"/>
        <v>-38</v>
      </c>
      <c r="G25" s="51">
        <v>4</v>
      </c>
      <c r="H25" s="20">
        <v>-2</v>
      </c>
      <c r="I25" s="7">
        <f>3-H25</f>
        <v>5</v>
      </c>
      <c r="J25" s="7">
        <f>5-I25-H25</f>
        <v>2</v>
      </c>
      <c r="K25" s="20">
        <f t="shared" si="1"/>
        <v>-5</v>
      </c>
      <c r="L25" s="51">
        <v>0</v>
      </c>
      <c r="M25" s="7">
        <v>36</v>
      </c>
      <c r="N25" s="7">
        <f>82-M25</f>
        <v>46</v>
      </c>
      <c r="O25" s="20">
        <f>72-N25-M25</f>
        <v>-10</v>
      </c>
      <c r="P25" s="20">
        <f t="shared" si="2"/>
        <v>-72</v>
      </c>
      <c r="Q25" s="51">
        <v>0</v>
      </c>
    </row>
    <row r="26" spans="2:17" s="29" customFormat="1" x14ac:dyDescent="0.25">
      <c r="B26" s="28" t="s">
        <v>96</v>
      </c>
      <c r="C26" s="20">
        <v>-24</v>
      </c>
      <c r="D26" s="20">
        <f>-57-C26</f>
        <v>-33</v>
      </c>
      <c r="E26" s="7">
        <f>-27-C26-D26</f>
        <v>30</v>
      </c>
      <c r="F26" s="7">
        <f t="shared" si="0"/>
        <v>1</v>
      </c>
      <c r="G26" s="54">
        <v>-26</v>
      </c>
      <c r="H26" s="7">
        <v>17</v>
      </c>
      <c r="I26" s="7">
        <f>38-H26</f>
        <v>21</v>
      </c>
      <c r="J26" s="7">
        <f>58-H26-I26</f>
        <v>20</v>
      </c>
      <c r="K26" s="20">
        <f t="shared" si="1"/>
        <v>-11</v>
      </c>
      <c r="L26" s="51">
        <v>47</v>
      </c>
      <c r="M26" s="20">
        <v>-17</v>
      </c>
      <c r="N26" s="20">
        <f>-39-M26</f>
        <v>-22</v>
      </c>
      <c r="O26" s="7">
        <f>-11-M26-N26</f>
        <v>28</v>
      </c>
      <c r="P26" s="20">
        <f t="shared" si="2"/>
        <v>-17</v>
      </c>
      <c r="Q26" s="54">
        <v>-28</v>
      </c>
    </row>
    <row r="27" spans="2:17" s="29" customFormat="1" x14ac:dyDescent="0.25">
      <c r="B27" s="38" t="s">
        <v>139</v>
      </c>
      <c r="C27" s="7">
        <v>0</v>
      </c>
      <c r="D27" s="7">
        <v>0</v>
      </c>
      <c r="E27" s="20">
        <v>-172</v>
      </c>
      <c r="F27" s="20">
        <f t="shared" si="0"/>
        <v>-1</v>
      </c>
      <c r="G27" s="54">
        <v>-173</v>
      </c>
      <c r="H27" s="7">
        <v>0</v>
      </c>
      <c r="I27" s="7">
        <v>0</v>
      </c>
      <c r="J27" s="7">
        <v>0</v>
      </c>
      <c r="K27" s="7">
        <f t="shared" si="1"/>
        <v>0</v>
      </c>
      <c r="L27" s="51">
        <v>0</v>
      </c>
      <c r="M27" s="7">
        <v>0</v>
      </c>
      <c r="N27" s="9">
        <v>0</v>
      </c>
      <c r="O27" s="9">
        <v>0</v>
      </c>
      <c r="P27" s="7">
        <f t="shared" si="2"/>
        <v>0</v>
      </c>
      <c r="Q27" s="71">
        <v>0</v>
      </c>
    </row>
    <row r="28" spans="2:17" s="29" customFormat="1" x14ac:dyDescent="0.25">
      <c r="B28" s="28" t="s">
        <v>95</v>
      </c>
      <c r="C28" s="20">
        <v>-30</v>
      </c>
      <c r="D28" s="7">
        <f>-18-C28</f>
        <v>12</v>
      </c>
      <c r="E28" s="20">
        <f>-38-C28-D28</f>
        <v>-20</v>
      </c>
      <c r="F28" s="7">
        <f t="shared" si="0"/>
        <v>422</v>
      </c>
      <c r="G28" s="51">
        <v>384</v>
      </c>
      <c r="H28" s="7">
        <v>109</v>
      </c>
      <c r="I28" s="20">
        <f>-162-H28</f>
        <v>-271</v>
      </c>
      <c r="J28" s="20">
        <f>-451-I28-H28</f>
        <v>-289</v>
      </c>
      <c r="K28" s="7">
        <f t="shared" si="1"/>
        <v>173</v>
      </c>
      <c r="L28" s="54">
        <v>-278</v>
      </c>
      <c r="M28" s="7">
        <v>70</v>
      </c>
      <c r="N28" s="9">
        <f>156-M28</f>
        <v>86</v>
      </c>
      <c r="O28" s="20">
        <f>47-M28-N28</f>
        <v>-109</v>
      </c>
      <c r="P28" s="7">
        <f t="shared" si="2"/>
        <v>73</v>
      </c>
      <c r="Q28" s="71">
        <v>120</v>
      </c>
    </row>
    <row r="29" spans="2:17" x14ac:dyDescent="0.25">
      <c r="B29" s="2" t="s">
        <v>94</v>
      </c>
      <c r="C29" s="7">
        <v>552</v>
      </c>
      <c r="D29" s="7">
        <f>968-C29</f>
        <v>416</v>
      </c>
      <c r="E29" s="20">
        <f>818-C29-D29</f>
        <v>-150</v>
      </c>
      <c r="F29" s="20">
        <f t="shared" si="0"/>
        <v>-27</v>
      </c>
      <c r="G29" s="51">
        <v>791</v>
      </c>
      <c r="H29" s="7">
        <v>137</v>
      </c>
      <c r="I29" s="20">
        <f>51-H29</f>
        <v>-86</v>
      </c>
      <c r="J29" s="7">
        <f>81-H29-I29</f>
        <v>30</v>
      </c>
      <c r="K29" s="20">
        <f t="shared" si="1"/>
        <v>-400</v>
      </c>
      <c r="L29" s="54">
        <v>-319</v>
      </c>
      <c r="M29" s="20">
        <v>-86</v>
      </c>
      <c r="N29" s="9">
        <f>-58-M29</f>
        <v>28</v>
      </c>
      <c r="O29" s="9">
        <f>-37-M29-N29</f>
        <v>21</v>
      </c>
      <c r="P29" s="20">
        <f t="shared" si="2"/>
        <v>-125</v>
      </c>
      <c r="Q29" s="54">
        <v>-162</v>
      </c>
    </row>
    <row r="30" spans="2:17" x14ac:dyDescent="0.25">
      <c r="B30" s="2" t="s">
        <v>93</v>
      </c>
      <c r="C30" s="7">
        <v>40</v>
      </c>
      <c r="D30" s="20">
        <f>34-C30</f>
        <v>-6</v>
      </c>
      <c r="E30" s="7">
        <f>166-D30-C30</f>
        <v>132</v>
      </c>
      <c r="F30" s="7">
        <f t="shared" si="0"/>
        <v>87</v>
      </c>
      <c r="G30" s="51">
        <v>253</v>
      </c>
      <c r="H30" s="7">
        <v>212</v>
      </c>
      <c r="I30" s="7">
        <f>314-H30</f>
        <v>102</v>
      </c>
      <c r="J30" s="7">
        <f>347-I30-H30</f>
        <v>33</v>
      </c>
      <c r="K30" s="7">
        <f t="shared" si="1"/>
        <v>175</v>
      </c>
      <c r="L30" s="51">
        <v>522</v>
      </c>
      <c r="M30" s="7">
        <v>81</v>
      </c>
      <c r="N30" s="9">
        <f>106-M30</f>
        <v>25</v>
      </c>
      <c r="O30" s="20">
        <f>100-M30-N30</f>
        <v>-6</v>
      </c>
      <c r="P30" s="7">
        <f t="shared" si="2"/>
        <v>32</v>
      </c>
      <c r="Q30" s="51">
        <v>132</v>
      </c>
    </row>
    <row r="31" spans="2:17" x14ac:dyDescent="0.25">
      <c r="B31" s="2" t="s">
        <v>134</v>
      </c>
      <c r="C31" s="7">
        <v>0</v>
      </c>
      <c r="D31" s="7">
        <v>0</v>
      </c>
      <c r="E31" s="7">
        <v>0</v>
      </c>
      <c r="F31" s="7">
        <v>0</v>
      </c>
      <c r="G31" s="51">
        <v>0</v>
      </c>
      <c r="H31" s="7">
        <v>0</v>
      </c>
      <c r="I31" s="7">
        <v>0</v>
      </c>
      <c r="J31" s="7">
        <v>0</v>
      </c>
      <c r="K31" s="7">
        <v>0</v>
      </c>
      <c r="L31" s="51">
        <v>0</v>
      </c>
      <c r="M31" s="7">
        <v>0</v>
      </c>
      <c r="N31" s="20">
        <f>-147-M31</f>
        <v>-147</v>
      </c>
      <c r="O31" s="9">
        <f>-147-M31-N31</f>
        <v>0</v>
      </c>
      <c r="P31" s="20">
        <f t="shared" si="2"/>
        <v>-153</v>
      </c>
      <c r="Q31" s="54">
        <v>-300</v>
      </c>
    </row>
    <row r="32" spans="2:17" x14ac:dyDescent="0.25">
      <c r="B32" s="2" t="s">
        <v>89</v>
      </c>
      <c r="C32" s="7">
        <v>0</v>
      </c>
      <c r="D32" s="7">
        <v>0</v>
      </c>
      <c r="E32" s="7">
        <v>0</v>
      </c>
      <c r="F32" s="7">
        <v>0</v>
      </c>
      <c r="G32" s="51">
        <v>0</v>
      </c>
      <c r="H32" s="7">
        <v>0</v>
      </c>
      <c r="I32" s="7">
        <v>0</v>
      </c>
      <c r="J32" s="7">
        <v>0</v>
      </c>
      <c r="K32" s="7">
        <v>0</v>
      </c>
      <c r="L32" s="51">
        <v>0</v>
      </c>
      <c r="M32" s="7">
        <v>0</v>
      </c>
      <c r="N32" s="20">
        <f>-92-M32</f>
        <v>-92</v>
      </c>
      <c r="O32" s="20">
        <f>-86-M32-N32-58</f>
        <v>-52</v>
      </c>
      <c r="P32" s="9">
        <f t="shared" si="2"/>
        <v>73</v>
      </c>
      <c r="Q32" s="54">
        <v>-71</v>
      </c>
    </row>
    <row r="33" spans="2:17" x14ac:dyDescent="0.25">
      <c r="B33" s="2" t="s">
        <v>90</v>
      </c>
      <c r="C33" s="7">
        <v>0</v>
      </c>
      <c r="D33" s="7">
        <v>0</v>
      </c>
      <c r="E33" s="7">
        <v>0</v>
      </c>
      <c r="F33" s="7">
        <v>0</v>
      </c>
      <c r="G33" s="51">
        <v>0</v>
      </c>
      <c r="H33" s="7">
        <v>0</v>
      </c>
      <c r="I33" s="7">
        <v>0</v>
      </c>
      <c r="J33" s="7">
        <v>0</v>
      </c>
      <c r="K33" s="7">
        <v>0</v>
      </c>
      <c r="L33" s="51">
        <v>0</v>
      </c>
      <c r="M33" s="7">
        <v>0</v>
      </c>
      <c r="N33" s="7">
        <v>0</v>
      </c>
      <c r="O33" s="7">
        <v>0</v>
      </c>
      <c r="P33" s="20">
        <f t="shared" si="2"/>
        <v>-69</v>
      </c>
      <c r="Q33" s="54">
        <v>-69</v>
      </c>
    </row>
    <row r="34" spans="2:17" x14ac:dyDescent="0.25">
      <c r="B34" s="2" t="s">
        <v>91</v>
      </c>
      <c r="C34" s="7">
        <v>0</v>
      </c>
      <c r="D34" s="7">
        <v>0</v>
      </c>
      <c r="E34" s="7">
        <v>0</v>
      </c>
      <c r="F34" s="7">
        <v>0</v>
      </c>
      <c r="G34" s="51">
        <v>0</v>
      </c>
      <c r="H34" s="7">
        <v>0</v>
      </c>
      <c r="I34" s="7">
        <v>0</v>
      </c>
      <c r="J34" s="7">
        <v>0</v>
      </c>
      <c r="K34" s="7">
        <v>0</v>
      </c>
      <c r="L34" s="51">
        <v>0</v>
      </c>
      <c r="M34" s="7">
        <v>0</v>
      </c>
      <c r="N34" s="7">
        <v>0</v>
      </c>
      <c r="O34" s="7">
        <v>0</v>
      </c>
      <c r="P34" s="20">
        <f t="shared" ref="P34" si="3">Q34-SUM(M34:O34)</f>
        <v>-498</v>
      </c>
      <c r="Q34" s="54">
        <v>-498</v>
      </c>
    </row>
    <row r="35" spans="2:17" x14ac:dyDescent="0.25">
      <c r="B35" s="2" t="s">
        <v>92</v>
      </c>
      <c r="C35" s="20">
        <v>-3</v>
      </c>
      <c r="D35" s="20">
        <f>-5-C35</f>
        <v>-2</v>
      </c>
      <c r="E35" s="7">
        <f>-3-D35-C35</f>
        <v>2</v>
      </c>
      <c r="F35" s="7">
        <f t="shared" si="0"/>
        <v>1</v>
      </c>
      <c r="G35" s="54">
        <v>-2</v>
      </c>
      <c r="H35" s="7">
        <v>4</v>
      </c>
      <c r="I35" s="20">
        <f>3-H35</f>
        <v>-1</v>
      </c>
      <c r="J35" s="7">
        <f>8-I35-H35</f>
        <v>5</v>
      </c>
      <c r="K35" s="7">
        <f t="shared" si="1"/>
        <v>0</v>
      </c>
      <c r="L35" s="51">
        <v>8</v>
      </c>
      <c r="M35" s="7">
        <v>2</v>
      </c>
      <c r="N35" s="7">
        <f>6-M35</f>
        <v>4</v>
      </c>
      <c r="O35" s="20">
        <f>5-M35-N35</f>
        <v>-1</v>
      </c>
      <c r="P35" s="20">
        <f t="shared" si="2"/>
        <v>-5</v>
      </c>
      <c r="Q35" s="51">
        <v>0</v>
      </c>
    </row>
    <row r="36" spans="2:17" x14ac:dyDescent="0.25">
      <c r="B36" s="2"/>
      <c r="C36" s="30">
        <f t="shared" ref="C36:O36" si="4">SUM(C9:C35)</f>
        <v>810</v>
      </c>
      <c r="D36" s="30">
        <f t="shared" si="4"/>
        <v>1294</v>
      </c>
      <c r="E36" s="30">
        <f t="shared" si="4"/>
        <v>1117</v>
      </c>
      <c r="F36" s="30">
        <f t="shared" si="4"/>
        <v>948</v>
      </c>
      <c r="G36" s="67">
        <f t="shared" si="4"/>
        <v>4169</v>
      </c>
      <c r="H36" s="30">
        <f t="shared" si="4"/>
        <v>832</v>
      </c>
      <c r="I36" s="30">
        <f t="shared" si="4"/>
        <v>746</v>
      </c>
      <c r="J36" s="30">
        <f t="shared" si="4"/>
        <v>893</v>
      </c>
      <c r="K36" s="30">
        <f t="shared" si="4"/>
        <v>1223</v>
      </c>
      <c r="L36" s="67">
        <f t="shared" si="4"/>
        <v>3694</v>
      </c>
      <c r="M36" s="30">
        <f t="shared" si="4"/>
        <v>807</v>
      </c>
      <c r="N36" s="30">
        <f t="shared" si="4"/>
        <v>945</v>
      </c>
      <c r="O36" s="30">
        <f t="shared" si="4"/>
        <v>859</v>
      </c>
      <c r="P36" s="30">
        <f t="shared" ref="P36:Q36" si="5">SUM(P9:P35)</f>
        <v>651</v>
      </c>
      <c r="Q36" s="67">
        <f t="shared" si="5"/>
        <v>3262</v>
      </c>
    </row>
    <row r="37" spans="2:17" x14ac:dyDescent="0.25">
      <c r="B37" s="1" t="s">
        <v>97</v>
      </c>
      <c r="C37" s="7"/>
      <c r="D37" s="7"/>
      <c r="E37" s="7"/>
      <c r="F37" s="7"/>
      <c r="G37" s="51"/>
      <c r="H37" s="7"/>
      <c r="I37" s="7"/>
      <c r="J37" s="7"/>
      <c r="K37" s="7"/>
      <c r="L37" s="51"/>
      <c r="M37" s="7"/>
      <c r="N37" s="7"/>
      <c r="O37" s="7"/>
      <c r="P37" s="7"/>
      <c r="Q37" s="51"/>
    </row>
    <row r="38" spans="2:17" x14ac:dyDescent="0.25">
      <c r="B38" s="2" t="s">
        <v>98</v>
      </c>
      <c r="C38" s="7">
        <v>1389</v>
      </c>
      <c r="D38" s="7">
        <f>1701-C38</f>
        <v>312</v>
      </c>
      <c r="E38" s="20">
        <f>1101-C38-D38</f>
        <v>-600</v>
      </c>
      <c r="F38" s="7">
        <f t="shared" ref="F38:F44" si="6">G38-SUM(C38:E38)</f>
        <v>653</v>
      </c>
      <c r="G38" s="51">
        <v>1754</v>
      </c>
      <c r="H38" s="7">
        <v>76</v>
      </c>
      <c r="I38" s="20">
        <f>-277-H38</f>
        <v>-353</v>
      </c>
      <c r="J38" s="7">
        <f>-254-H38-I38</f>
        <v>23</v>
      </c>
      <c r="K38" s="7">
        <f t="shared" ref="K38:K44" si="7">L38-SUM(H38:J38)</f>
        <v>696</v>
      </c>
      <c r="L38" s="51">
        <v>442</v>
      </c>
      <c r="M38" s="7">
        <v>562</v>
      </c>
      <c r="N38" s="7">
        <f>921-M38</f>
        <v>359</v>
      </c>
      <c r="O38" s="20">
        <f>581-N38-M38</f>
        <v>-340</v>
      </c>
      <c r="P38" s="20">
        <f t="shared" ref="P38:P44" si="8">Q38-SUM(M38:O38)</f>
        <v>-235</v>
      </c>
      <c r="Q38" s="51">
        <v>346</v>
      </c>
    </row>
    <row r="39" spans="2:17" x14ac:dyDescent="0.25">
      <c r="B39" s="2" t="s">
        <v>94</v>
      </c>
      <c r="C39" s="7">
        <v>9</v>
      </c>
      <c r="D39" s="7">
        <f>13-C39</f>
        <v>4</v>
      </c>
      <c r="E39" s="20">
        <f>-21-D39-C39</f>
        <v>-34</v>
      </c>
      <c r="F39" s="20">
        <f t="shared" si="6"/>
        <v>-51</v>
      </c>
      <c r="G39" s="54">
        <v>-72</v>
      </c>
      <c r="H39" s="20">
        <v>-37</v>
      </c>
      <c r="I39" s="20">
        <f>-58-H39</f>
        <v>-21</v>
      </c>
      <c r="J39" s="20">
        <f>-145-H39-I39</f>
        <v>-87</v>
      </c>
      <c r="K39" s="20">
        <f t="shared" si="7"/>
        <v>-57</v>
      </c>
      <c r="L39" s="54">
        <v>-202</v>
      </c>
      <c r="M39" s="20">
        <v>-60</v>
      </c>
      <c r="N39" s="7">
        <f>-58-M39</f>
        <v>2</v>
      </c>
      <c r="O39" s="7">
        <f>-37-M39-N39</f>
        <v>21</v>
      </c>
      <c r="P39" s="20">
        <f t="shared" si="8"/>
        <v>-55</v>
      </c>
      <c r="Q39" s="54">
        <v>-92</v>
      </c>
    </row>
    <row r="40" spans="2:17" x14ac:dyDescent="0.25">
      <c r="B40" s="2" t="s">
        <v>99</v>
      </c>
      <c r="C40" s="7">
        <v>379</v>
      </c>
      <c r="D40" s="20">
        <f>362-C40</f>
        <v>-17</v>
      </c>
      <c r="E40" s="20">
        <f>244-C40-D40</f>
        <v>-118</v>
      </c>
      <c r="F40" s="7">
        <f t="shared" si="6"/>
        <v>278</v>
      </c>
      <c r="G40" s="51">
        <v>522</v>
      </c>
      <c r="H40" s="20">
        <v>-172</v>
      </c>
      <c r="I40" s="20">
        <f>-444-H40</f>
        <v>-272</v>
      </c>
      <c r="J40" s="20">
        <f>-779-I40-H40</f>
        <v>-335</v>
      </c>
      <c r="K40" s="7">
        <f t="shared" si="7"/>
        <v>359</v>
      </c>
      <c r="L40" s="54">
        <v>-420</v>
      </c>
      <c r="M40" s="20">
        <v>-481</v>
      </c>
      <c r="N40" s="20">
        <f>-781-M40</f>
        <v>-300</v>
      </c>
      <c r="O40" s="20">
        <f>-906-M40-N40</f>
        <v>-125</v>
      </c>
      <c r="P40" s="7">
        <f t="shared" si="8"/>
        <v>738</v>
      </c>
      <c r="Q40" s="54">
        <v>-168</v>
      </c>
    </row>
    <row r="41" spans="2:17" x14ac:dyDescent="0.25">
      <c r="B41" s="2" t="s">
        <v>100</v>
      </c>
      <c r="C41" s="20">
        <v>-64</v>
      </c>
      <c r="D41" s="7">
        <f>224-C41</f>
        <v>288</v>
      </c>
      <c r="E41" s="20">
        <f>216-D41-C41</f>
        <v>-8</v>
      </c>
      <c r="F41" s="7">
        <f t="shared" si="6"/>
        <v>106</v>
      </c>
      <c r="G41" s="51">
        <v>322</v>
      </c>
      <c r="H41" s="20">
        <v>-53</v>
      </c>
      <c r="I41" s="7">
        <f>17-H41</f>
        <v>70</v>
      </c>
      <c r="J41" s="7">
        <f>115-I41-H41</f>
        <v>98</v>
      </c>
      <c r="K41" s="20">
        <f t="shared" si="7"/>
        <v>-245</v>
      </c>
      <c r="L41" s="54">
        <v>-130</v>
      </c>
      <c r="M41" s="20">
        <v>-257</v>
      </c>
      <c r="N41" s="20">
        <f>-588-M41</f>
        <v>-331</v>
      </c>
      <c r="O41" s="20">
        <f>-633-M41-N41</f>
        <v>-45</v>
      </c>
      <c r="P41" s="7">
        <f t="shared" si="8"/>
        <v>340</v>
      </c>
      <c r="Q41" s="54">
        <v>-293</v>
      </c>
    </row>
    <row r="42" spans="2:17" x14ac:dyDescent="0.25">
      <c r="B42" s="2" t="s">
        <v>101</v>
      </c>
      <c r="C42" s="7">
        <v>150</v>
      </c>
      <c r="D42" s="7">
        <f>253-C42</f>
        <v>103</v>
      </c>
      <c r="E42" s="7">
        <f>288-C42-D42</f>
        <v>35</v>
      </c>
      <c r="F42" s="20">
        <f t="shared" si="6"/>
        <v>-117</v>
      </c>
      <c r="G42" s="51">
        <v>171</v>
      </c>
      <c r="H42" s="7">
        <v>46</v>
      </c>
      <c r="I42" s="7">
        <f>108-H42</f>
        <v>62</v>
      </c>
      <c r="J42" s="20">
        <f>45-H42-I42</f>
        <v>-63</v>
      </c>
      <c r="K42" s="20">
        <f t="shared" si="7"/>
        <v>-33</v>
      </c>
      <c r="L42" s="51">
        <v>12</v>
      </c>
      <c r="M42" s="7">
        <v>80</v>
      </c>
      <c r="N42" s="20">
        <f>-40-M42</f>
        <v>-120</v>
      </c>
      <c r="O42" s="20">
        <f>-267-N42-M42</f>
        <v>-227</v>
      </c>
      <c r="P42" s="7">
        <f t="shared" si="8"/>
        <v>5</v>
      </c>
      <c r="Q42" s="54">
        <v>-262</v>
      </c>
    </row>
    <row r="43" spans="2:17" x14ac:dyDescent="0.25">
      <c r="B43" s="2" t="s">
        <v>102</v>
      </c>
      <c r="C43" s="20">
        <v>-113</v>
      </c>
      <c r="D43" s="20">
        <f>-193-C43</f>
        <v>-80</v>
      </c>
      <c r="E43" s="7">
        <f>-154-C43-D43</f>
        <v>39</v>
      </c>
      <c r="F43" s="7">
        <f t="shared" si="6"/>
        <v>474</v>
      </c>
      <c r="G43" s="51">
        <v>320</v>
      </c>
      <c r="H43" s="7">
        <v>24</v>
      </c>
      <c r="I43" s="7">
        <f>344-H43</f>
        <v>320</v>
      </c>
      <c r="J43" s="7">
        <f>441-H43-I43</f>
        <v>97</v>
      </c>
      <c r="K43" s="20">
        <f t="shared" si="7"/>
        <v>-46</v>
      </c>
      <c r="L43" s="51">
        <v>395</v>
      </c>
      <c r="M43" s="20">
        <v>-79</v>
      </c>
      <c r="N43" s="20">
        <f>-180-M43</f>
        <v>-101</v>
      </c>
      <c r="O43" s="7">
        <f>-173-M43-N43</f>
        <v>7</v>
      </c>
      <c r="P43" s="7">
        <f t="shared" si="8"/>
        <v>156</v>
      </c>
      <c r="Q43" s="54">
        <v>-17</v>
      </c>
    </row>
    <row r="44" spans="2:17" x14ac:dyDescent="0.25">
      <c r="B44" s="2" t="s">
        <v>103</v>
      </c>
      <c r="C44" s="7">
        <v>5</v>
      </c>
      <c r="D44" s="7">
        <f>52-C44</f>
        <v>47</v>
      </c>
      <c r="E44" s="7">
        <f>74-C44-D44</f>
        <v>22</v>
      </c>
      <c r="F44" s="20">
        <f t="shared" si="6"/>
        <v>-185</v>
      </c>
      <c r="G44" s="54">
        <v>-111</v>
      </c>
      <c r="H44" s="7">
        <v>252</v>
      </c>
      <c r="I44" s="20">
        <f>236-H44</f>
        <v>-16</v>
      </c>
      <c r="J44" s="7">
        <f>471-I44-H44</f>
        <v>235</v>
      </c>
      <c r="K44" s="20">
        <f t="shared" si="7"/>
        <v>-829</v>
      </c>
      <c r="L44" s="54">
        <v>-358</v>
      </c>
      <c r="M44" s="20">
        <v>-180</v>
      </c>
      <c r="N44" s="7">
        <f>52-M44</f>
        <v>232</v>
      </c>
      <c r="O44" s="20">
        <f>-38-M44-N44</f>
        <v>-90</v>
      </c>
      <c r="P44" s="7">
        <f t="shared" si="8"/>
        <v>88</v>
      </c>
      <c r="Q44" s="51">
        <v>50</v>
      </c>
    </row>
    <row r="45" spans="2:17" x14ac:dyDescent="0.25">
      <c r="B45" s="1" t="s">
        <v>104</v>
      </c>
      <c r="C45" s="7"/>
      <c r="D45" s="7"/>
      <c r="E45" s="7"/>
      <c r="F45" s="7"/>
      <c r="G45" s="51"/>
      <c r="H45" s="7"/>
      <c r="I45" s="7"/>
      <c r="J45" s="7"/>
      <c r="K45" s="7"/>
      <c r="L45" s="51"/>
      <c r="M45" s="7"/>
      <c r="N45" s="7"/>
      <c r="O45" s="7"/>
      <c r="P45" s="7"/>
      <c r="Q45" s="51"/>
    </row>
    <row r="46" spans="2:17" x14ac:dyDescent="0.25">
      <c r="B46" s="2" t="s">
        <v>105</v>
      </c>
      <c r="C46" s="20">
        <v>-195</v>
      </c>
      <c r="D46" s="20">
        <f>-305-C46</f>
        <v>-110</v>
      </c>
      <c r="E46" s="20">
        <f>-423-C46-D46</f>
        <v>-118</v>
      </c>
      <c r="F46" s="7">
        <f t="shared" ref="F46:F50" si="9">G46-SUM(C46:E46)</f>
        <v>123</v>
      </c>
      <c r="G46" s="54">
        <v>-300</v>
      </c>
      <c r="H46" s="20">
        <v>-376</v>
      </c>
      <c r="I46" s="7">
        <f>83-H46</f>
        <v>459</v>
      </c>
      <c r="J46" s="7">
        <f>136-I46-H46</f>
        <v>53</v>
      </c>
      <c r="K46" s="7">
        <f>L46-SUM(H46:J46)</f>
        <v>494</v>
      </c>
      <c r="L46" s="51">
        <v>630</v>
      </c>
      <c r="M46" s="20">
        <v>-183</v>
      </c>
      <c r="N46" s="7">
        <f>449-M46</f>
        <v>632</v>
      </c>
      <c r="O46" s="7">
        <f>642-M46-N46</f>
        <v>193</v>
      </c>
      <c r="P46" s="7">
        <f>Q46-SUM(M46:O46)</f>
        <v>136</v>
      </c>
      <c r="Q46" s="51">
        <v>778</v>
      </c>
    </row>
    <row r="47" spans="2:17" x14ac:dyDescent="0.25">
      <c r="B47" s="2" t="s">
        <v>106</v>
      </c>
      <c r="C47" s="20">
        <v>-259</v>
      </c>
      <c r="D47" s="7">
        <f>-195-C47</f>
        <v>64</v>
      </c>
      <c r="E47" s="7">
        <f>-59-D47-C47</f>
        <v>136</v>
      </c>
      <c r="F47" s="7">
        <f t="shared" si="9"/>
        <v>39</v>
      </c>
      <c r="G47" s="54">
        <f>-20</f>
        <v>-20</v>
      </c>
      <c r="H47" s="20">
        <v>-322</v>
      </c>
      <c r="I47" s="7">
        <f>-185-H47</f>
        <v>137</v>
      </c>
      <c r="J47" s="7">
        <f>-27-H47-I47</f>
        <v>158</v>
      </c>
      <c r="K47" s="7">
        <f>L47-SUM(H47:J47)</f>
        <v>74</v>
      </c>
      <c r="L47" s="51">
        <v>47</v>
      </c>
      <c r="M47" s="20">
        <v>-340</v>
      </c>
      <c r="N47" s="7">
        <f>-153-M47</f>
        <v>187</v>
      </c>
      <c r="O47" s="7">
        <f>-8-M47-N47</f>
        <v>145</v>
      </c>
      <c r="P47" s="20">
        <f>Q47-SUM(M47:O47)</f>
        <v>-42</v>
      </c>
      <c r="Q47" s="54">
        <v>-50</v>
      </c>
    </row>
    <row r="48" spans="2:17" x14ac:dyDescent="0.25">
      <c r="B48" s="2" t="s">
        <v>107</v>
      </c>
      <c r="C48" s="7">
        <v>43</v>
      </c>
      <c r="D48" s="7">
        <f>85-C48</f>
        <v>42</v>
      </c>
      <c r="E48" s="7">
        <f>96-C48-D48</f>
        <v>11</v>
      </c>
      <c r="F48" s="7">
        <f t="shared" si="9"/>
        <v>9</v>
      </c>
      <c r="G48" s="51">
        <v>105</v>
      </c>
      <c r="H48" s="7">
        <v>12</v>
      </c>
      <c r="I48" s="20">
        <f>-23-H48</f>
        <v>-35</v>
      </c>
      <c r="J48" s="20">
        <f>-58-H48-I48</f>
        <v>-35</v>
      </c>
      <c r="K48" s="20">
        <f>L48-SUM(H48:J48)</f>
        <v>-26</v>
      </c>
      <c r="L48" s="54">
        <v>-84</v>
      </c>
      <c r="M48" s="20">
        <v>-14</v>
      </c>
      <c r="N48" s="7">
        <f>123-M48</f>
        <v>137</v>
      </c>
      <c r="O48" s="7">
        <f>189-M48-N48</f>
        <v>66</v>
      </c>
      <c r="P48" s="20">
        <f>Q48-SUM(M48:O48)</f>
        <v>-202</v>
      </c>
      <c r="Q48" s="54">
        <v>-13</v>
      </c>
    </row>
    <row r="49" spans="2:17" x14ac:dyDescent="0.25">
      <c r="B49" s="2" t="s">
        <v>108</v>
      </c>
      <c r="C49" s="20">
        <v>-89</v>
      </c>
      <c r="D49" s="20">
        <f>-170-C49</f>
        <v>-81</v>
      </c>
      <c r="E49" s="20">
        <f>-220-C49-D49</f>
        <v>-50</v>
      </c>
      <c r="F49" s="7">
        <f t="shared" si="9"/>
        <v>118</v>
      </c>
      <c r="G49" s="54">
        <v>-102</v>
      </c>
      <c r="H49" s="7">
        <v>91</v>
      </c>
      <c r="I49" s="7">
        <f>121-H49</f>
        <v>30</v>
      </c>
      <c r="J49" s="7">
        <f>374-I49-H49</f>
        <v>253</v>
      </c>
      <c r="K49" s="20">
        <f>L49-SUM(H49:J49)</f>
        <v>-214</v>
      </c>
      <c r="L49" s="51">
        <v>160</v>
      </c>
      <c r="M49" s="20">
        <v>-169</v>
      </c>
      <c r="N49" s="7">
        <f>-20-M49</f>
        <v>149</v>
      </c>
      <c r="O49" s="7">
        <f>71-M49-N49</f>
        <v>91</v>
      </c>
      <c r="P49" s="20">
        <f>Q49-SUM(M49:O49)</f>
        <v>-40</v>
      </c>
      <c r="Q49" s="51">
        <v>31</v>
      </c>
    </row>
    <row r="50" spans="2:17" x14ac:dyDescent="0.25">
      <c r="B50" s="2" t="s">
        <v>109</v>
      </c>
      <c r="C50" s="20">
        <f>-253-77</f>
        <v>-330</v>
      </c>
      <c r="D50" s="20">
        <f>-607-C50</f>
        <v>-277</v>
      </c>
      <c r="E50" s="20">
        <f>-615-C50-D50</f>
        <v>-8</v>
      </c>
      <c r="F50" s="7">
        <f t="shared" si="9"/>
        <v>919</v>
      </c>
      <c r="G50" s="51">
        <v>304</v>
      </c>
      <c r="H50" s="20">
        <f>-58-326</f>
        <v>-384</v>
      </c>
      <c r="I50" s="20">
        <f>-734-H50</f>
        <v>-350</v>
      </c>
      <c r="J50" s="20">
        <f>-184-I50-H50-90-584</f>
        <v>-124</v>
      </c>
      <c r="K50" s="7">
        <f>L50-SUM(H50:J50)</f>
        <v>1029</v>
      </c>
      <c r="L50" s="51">
        <v>171</v>
      </c>
      <c r="M50" s="7">
        <v>314</v>
      </c>
      <c r="N50" s="20">
        <f>-34-M50</f>
        <v>-348</v>
      </c>
      <c r="O50" s="7">
        <f>445-M50-N50</f>
        <v>479</v>
      </c>
      <c r="P50" s="20">
        <f>Q50-SUM(M50:O50)</f>
        <v>-245</v>
      </c>
      <c r="Q50" s="51">
        <v>200</v>
      </c>
    </row>
    <row r="51" spans="2:17" s="16" customFormat="1" x14ac:dyDescent="0.25">
      <c r="B51" s="1" t="s">
        <v>110</v>
      </c>
      <c r="C51" s="27">
        <f t="shared" ref="C51:Q51" si="10">SUM(C36:C50)</f>
        <v>1735</v>
      </c>
      <c r="D51" s="27">
        <f t="shared" si="10"/>
        <v>1589</v>
      </c>
      <c r="E51" s="27">
        <f t="shared" si="10"/>
        <v>424</v>
      </c>
      <c r="F51" s="27">
        <f t="shared" si="10"/>
        <v>3314</v>
      </c>
      <c r="G51" s="68">
        <f t="shared" si="10"/>
        <v>7062</v>
      </c>
      <c r="H51" s="34">
        <f t="shared" si="10"/>
        <v>-11</v>
      </c>
      <c r="I51" s="27">
        <f t="shared" si="10"/>
        <v>777</v>
      </c>
      <c r="J51" s="27">
        <f t="shared" si="10"/>
        <v>1166</v>
      </c>
      <c r="K51" s="27">
        <f t="shared" si="10"/>
        <v>2425</v>
      </c>
      <c r="L51" s="68">
        <f t="shared" si="10"/>
        <v>4357</v>
      </c>
      <c r="M51" s="27">
        <f t="shared" si="10"/>
        <v>0</v>
      </c>
      <c r="N51" s="27">
        <f t="shared" si="10"/>
        <v>1443</v>
      </c>
      <c r="O51" s="27">
        <f t="shared" si="10"/>
        <v>1034</v>
      </c>
      <c r="P51" s="27">
        <f t="shared" si="10"/>
        <v>1295</v>
      </c>
      <c r="Q51" s="68">
        <f t="shared" si="10"/>
        <v>3772</v>
      </c>
    </row>
    <row r="52" spans="2:17" x14ac:dyDescent="0.25">
      <c r="B52" s="1"/>
      <c r="C52" s="7"/>
      <c r="D52" s="7"/>
      <c r="E52" s="7"/>
      <c r="F52" s="7"/>
      <c r="G52" s="51"/>
      <c r="H52" s="7"/>
      <c r="I52" s="7"/>
      <c r="J52" s="7"/>
      <c r="K52" s="7"/>
      <c r="L52" s="51"/>
      <c r="M52" s="7"/>
      <c r="N52" s="7"/>
      <c r="O52" s="7"/>
      <c r="P52" s="7"/>
      <c r="Q52" s="51"/>
    </row>
    <row r="53" spans="2:17" x14ac:dyDescent="0.25">
      <c r="B53" s="2" t="s">
        <v>111</v>
      </c>
      <c r="C53" s="20">
        <v>-332</v>
      </c>
      <c r="D53" s="20">
        <f>-946-C53</f>
        <v>-614</v>
      </c>
      <c r="E53" s="20">
        <f>-1228-C53-D53</f>
        <v>-282</v>
      </c>
      <c r="F53" s="20">
        <f t="shared" ref="F53:F54" si="11">G53-SUM(C53:E53)</f>
        <v>-551</v>
      </c>
      <c r="G53" s="54">
        <v>-1779</v>
      </c>
      <c r="H53" s="20">
        <v>-325</v>
      </c>
      <c r="I53" s="20">
        <f>-728-H53</f>
        <v>-403</v>
      </c>
      <c r="J53" s="20">
        <f>-1195-I53-H53</f>
        <v>-467</v>
      </c>
      <c r="K53" s="20">
        <f>L53-SUM(H53:J53)</f>
        <v>-363</v>
      </c>
      <c r="L53" s="54">
        <v>-1558</v>
      </c>
      <c r="M53" s="20">
        <v>-291</v>
      </c>
      <c r="N53" s="20">
        <f>-725-M53</f>
        <v>-434</v>
      </c>
      <c r="O53" s="20">
        <f>-1002-M53-N53</f>
        <v>-277</v>
      </c>
      <c r="P53" s="20">
        <f>Q53-SUM(M53:O53)</f>
        <v>-459</v>
      </c>
      <c r="Q53" s="54">
        <v>-1461</v>
      </c>
    </row>
    <row r="54" spans="2:17" x14ac:dyDescent="0.25">
      <c r="B54" s="2" t="s">
        <v>112</v>
      </c>
      <c r="C54" s="20">
        <v>-149</v>
      </c>
      <c r="D54" s="20">
        <f>-239-C54</f>
        <v>-90</v>
      </c>
      <c r="E54" s="20">
        <f>-347-C54-D54</f>
        <v>-108</v>
      </c>
      <c r="F54" s="20">
        <f t="shared" si="11"/>
        <v>-144</v>
      </c>
      <c r="G54" s="54">
        <v>-491</v>
      </c>
      <c r="H54" s="20">
        <v>-152</v>
      </c>
      <c r="I54" s="20">
        <f>-297-H54</f>
        <v>-145</v>
      </c>
      <c r="J54" s="20">
        <f>-408-I54-H54</f>
        <v>-111</v>
      </c>
      <c r="K54" s="20">
        <f>L54-SUM(H54:J54)</f>
        <v>-280</v>
      </c>
      <c r="L54" s="54">
        <v>-688</v>
      </c>
      <c r="M54" s="20">
        <v>-239</v>
      </c>
      <c r="N54" s="20">
        <f>-421-M54</f>
        <v>-182</v>
      </c>
      <c r="O54" s="20">
        <f>-553-M54-N54</f>
        <v>-132</v>
      </c>
      <c r="P54" s="20">
        <f>Q54-SUM(M54:O54)</f>
        <v>-61</v>
      </c>
      <c r="Q54" s="54">
        <v>-614</v>
      </c>
    </row>
    <row r="55" spans="2:17" s="16" customFormat="1" x14ac:dyDescent="0.25">
      <c r="B55" s="12" t="s">
        <v>113</v>
      </c>
      <c r="C55" s="14">
        <f t="shared" ref="C55:Q55" si="12">SUM(C51:C54)</f>
        <v>1254</v>
      </c>
      <c r="D55" s="14">
        <f t="shared" si="12"/>
        <v>885</v>
      </c>
      <c r="E55" s="14">
        <f t="shared" si="12"/>
        <v>34</v>
      </c>
      <c r="F55" s="14">
        <f t="shared" si="12"/>
        <v>2619</v>
      </c>
      <c r="G55" s="64">
        <f t="shared" si="12"/>
        <v>4792</v>
      </c>
      <c r="H55" s="31">
        <f t="shared" si="12"/>
        <v>-488</v>
      </c>
      <c r="I55" s="14">
        <f t="shared" si="12"/>
        <v>229</v>
      </c>
      <c r="J55" s="14">
        <f t="shared" si="12"/>
        <v>588</v>
      </c>
      <c r="K55" s="14">
        <f t="shared" si="12"/>
        <v>1782</v>
      </c>
      <c r="L55" s="64">
        <f t="shared" si="12"/>
        <v>2111</v>
      </c>
      <c r="M55" s="31">
        <f t="shared" si="12"/>
        <v>-530</v>
      </c>
      <c r="N55" s="14">
        <f t="shared" si="12"/>
        <v>827</v>
      </c>
      <c r="O55" s="14">
        <f t="shared" si="12"/>
        <v>625</v>
      </c>
      <c r="P55" s="14">
        <f t="shared" si="12"/>
        <v>775</v>
      </c>
      <c r="Q55" s="64">
        <f t="shared" si="12"/>
        <v>1697</v>
      </c>
    </row>
    <row r="56" spans="2:17" x14ac:dyDescent="0.25">
      <c r="B56" s="2"/>
      <c r="C56" s="7"/>
      <c r="D56" s="7"/>
      <c r="E56" s="7"/>
      <c r="F56" s="7"/>
      <c r="G56" s="51"/>
      <c r="H56" s="7"/>
      <c r="I56" s="7"/>
      <c r="J56" s="7"/>
      <c r="K56" s="7"/>
      <c r="L56" s="51"/>
      <c r="M56" s="7"/>
      <c r="N56" s="7"/>
      <c r="O56" s="7"/>
      <c r="P56" s="7"/>
      <c r="Q56" s="51"/>
    </row>
    <row r="57" spans="2:17" x14ac:dyDescent="0.25">
      <c r="B57" s="1" t="s">
        <v>114</v>
      </c>
      <c r="C57" s="7"/>
      <c r="D57" s="7"/>
      <c r="E57" s="7"/>
      <c r="F57" s="7"/>
      <c r="G57" s="51"/>
      <c r="H57" s="7"/>
      <c r="I57" s="7"/>
      <c r="J57" s="7"/>
      <c r="K57" s="7"/>
      <c r="L57" s="51"/>
      <c r="M57" s="7"/>
      <c r="N57" s="7"/>
      <c r="O57" s="7"/>
      <c r="P57" s="7"/>
      <c r="Q57" s="51"/>
    </row>
    <row r="58" spans="2:17" x14ac:dyDescent="0.25">
      <c r="B58" s="2" t="s">
        <v>115</v>
      </c>
      <c r="C58" s="7">
        <v>59</v>
      </c>
      <c r="D58" s="7">
        <f>90-C58</f>
        <v>31</v>
      </c>
      <c r="E58" s="7">
        <f>127-C58-D58</f>
        <v>37</v>
      </c>
      <c r="F58" s="7">
        <f t="shared" ref="F58:F66" si="13">G58-SUM(C58:E58)</f>
        <v>252</v>
      </c>
      <c r="G58" s="51">
        <v>379</v>
      </c>
      <c r="H58" s="20">
        <v>-29</v>
      </c>
      <c r="I58" s="7">
        <f>30-H58</f>
        <v>59</v>
      </c>
      <c r="J58" s="7">
        <f>55-I58-H58</f>
        <v>25</v>
      </c>
      <c r="K58" s="7">
        <f t="shared" ref="K58:K66" si="14">L58-SUM(H58:J58)</f>
        <v>123</v>
      </c>
      <c r="L58" s="51">
        <v>178</v>
      </c>
      <c r="M58" s="7">
        <v>51</v>
      </c>
      <c r="N58" s="7">
        <f>96-M58</f>
        <v>45</v>
      </c>
      <c r="O58" s="7">
        <f>148-M58-N58</f>
        <v>52</v>
      </c>
      <c r="P58" s="7">
        <f t="shared" ref="P58:P66" si="15">Q58-SUM(M58:O58)</f>
        <v>29</v>
      </c>
      <c r="Q58" s="51">
        <v>177</v>
      </c>
    </row>
    <row r="59" spans="2:17" x14ac:dyDescent="0.25">
      <c r="B59" s="2" t="s">
        <v>116</v>
      </c>
      <c r="C59" s="7">
        <v>0</v>
      </c>
      <c r="D59" s="7">
        <v>0</v>
      </c>
      <c r="E59" s="7">
        <v>0</v>
      </c>
      <c r="F59" s="7">
        <v>0</v>
      </c>
      <c r="G59" s="51">
        <v>0</v>
      </c>
      <c r="H59" s="7">
        <v>0</v>
      </c>
      <c r="I59" s="7">
        <v>0</v>
      </c>
      <c r="J59" s="7">
        <v>0</v>
      </c>
      <c r="K59" s="7">
        <f t="shared" si="14"/>
        <v>1009</v>
      </c>
      <c r="L59" s="51">
        <v>1009</v>
      </c>
      <c r="M59" s="7">
        <v>0</v>
      </c>
      <c r="N59" s="7">
        <v>0</v>
      </c>
      <c r="O59" s="7">
        <v>0</v>
      </c>
      <c r="P59" s="7">
        <f t="shared" si="15"/>
        <v>0</v>
      </c>
      <c r="Q59" s="51">
        <v>0</v>
      </c>
    </row>
    <row r="60" spans="2:17" x14ac:dyDescent="0.25">
      <c r="B60" s="37" t="s">
        <v>140</v>
      </c>
      <c r="C60" s="7">
        <v>0</v>
      </c>
      <c r="D60" s="7">
        <v>0</v>
      </c>
      <c r="E60" s="7">
        <v>0</v>
      </c>
      <c r="F60" s="7">
        <v>0</v>
      </c>
      <c r="G60" s="51">
        <v>0</v>
      </c>
      <c r="H60" s="7">
        <v>0</v>
      </c>
      <c r="I60" s="7">
        <v>0</v>
      </c>
      <c r="J60" s="7">
        <v>0</v>
      </c>
      <c r="K60" s="7">
        <f t="shared" si="14"/>
        <v>753</v>
      </c>
      <c r="L60" s="51">
        <v>753</v>
      </c>
      <c r="M60" s="7">
        <v>0</v>
      </c>
      <c r="N60" s="7">
        <v>0</v>
      </c>
      <c r="O60" s="7">
        <v>0</v>
      </c>
      <c r="P60" s="7">
        <f t="shared" si="15"/>
        <v>0</v>
      </c>
      <c r="Q60" s="51">
        <v>0</v>
      </c>
    </row>
    <row r="61" spans="2:17" x14ac:dyDescent="0.25">
      <c r="B61" s="2" t="s">
        <v>117</v>
      </c>
      <c r="C61" s="7">
        <v>566</v>
      </c>
      <c r="D61" s="7">
        <f>566-C61+11</f>
        <v>11</v>
      </c>
      <c r="E61" s="7">
        <f>566+82-C61-D61</f>
        <v>71</v>
      </c>
      <c r="F61" s="7">
        <f t="shared" si="13"/>
        <v>0</v>
      </c>
      <c r="G61" s="51">
        <f>566+82</f>
        <v>648</v>
      </c>
      <c r="H61" s="7">
        <v>25</v>
      </c>
      <c r="I61" s="7">
        <f>29-H61</f>
        <v>4</v>
      </c>
      <c r="J61" s="7">
        <f>33-I61-H61</f>
        <v>4</v>
      </c>
      <c r="K61" s="7">
        <f t="shared" si="14"/>
        <v>1904</v>
      </c>
      <c r="L61" s="51">
        <v>1937</v>
      </c>
      <c r="M61" s="7">
        <v>31</v>
      </c>
      <c r="N61" s="7">
        <f>31-M61</f>
        <v>0</v>
      </c>
      <c r="O61" s="7">
        <f>54-N61-M61</f>
        <v>23</v>
      </c>
      <c r="P61" s="7">
        <f t="shared" si="15"/>
        <v>365</v>
      </c>
      <c r="Q61" s="51">
        <v>419</v>
      </c>
    </row>
    <row r="62" spans="2:17" x14ac:dyDescent="0.25">
      <c r="B62" s="2" t="s">
        <v>118</v>
      </c>
      <c r="C62" s="7">
        <v>3</v>
      </c>
      <c r="D62" s="7">
        <f>190-C62</f>
        <v>187</v>
      </c>
      <c r="E62" s="7">
        <f>208-C62-D62</f>
        <v>18</v>
      </c>
      <c r="F62" s="7">
        <f t="shared" si="13"/>
        <v>37</v>
      </c>
      <c r="G62" s="51">
        <v>245</v>
      </c>
      <c r="H62" s="7">
        <v>22</v>
      </c>
      <c r="I62" s="7">
        <f>226-H62</f>
        <v>204</v>
      </c>
      <c r="J62" s="7">
        <f>252-I62-H62</f>
        <v>26</v>
      </c>
      <c r="K62" s="7">
        <f t="shared" si="14"/>
        <v>288</v>
      </c>
      <c r="L62" s="51">
        <v>540</v>
      </c>
      <c r="M62" s="7">
        <v>20</v>
      </c>
      <c r="N62" s="7">
        <f>152-M62</f>
        <v>132</v>
      </c>
      <c r="O62" s="20">
        <f>144-M62-N62</f>
        <v>-8</v>
      </c>
      <c r="P62" s="7">
        <f t="shared" si="15"/>
        <v>941</v>
      </c>
      <c r="Q62" s="51">
        <v>1085</v>
      </c>
    </row>
    <row r="63" spans="2:17" x14ac:dyDescent="0.25">
      <c r="B63" s="2" t="s">
        <v>119</v>
      </c>
      <c r="C63" s="7">
        <v>0</v>
      </c>
      <c r="D63" s="7">
        <v>0</v>
      </c>
      <c r="E63" s="7">
        <v>0</v>
      </c>
      <c r="F63" s="7">
        <v>0</v>
      </c>
      <c r="G63" s="51">
        <v>0</v>
      </c>
      <c r="H63" s="7">
        <v>0</v>
      </c>
      <c r="I63" s="7">
        <v>0</v>
      </c>
      <c r="J63" s="7">
        <v>0</v>
      </c>
      <c r="K63" s="7">
        <v>0</v>
      </c>
      <c r="L63" s="51">
        <v>0</v>
      </c>
      <c r="M63" s="7">
        <v>0</v>
      </c>
      <c r="N63" s="7">
        <v>0</v>
      </c>
      <c r="O63" s="20">
        <v>-124</v>
      </c>
      <c r="P63" s="20">
        <f t="shared" si="15"/>
        <v>-1</v>
      </c>
      <c r="Q63" s="54">
        <v>-125</v>
      </c>
    </row>
    <row r="64" spans="2:17" x14ac:dyDescent="0.25">
      <c r="B64" s="2" t="s">
        <v>120</v>
      </c>
      <c r="C64" s="20">
        <v>-646</v>
      </c>
      <c r="D64" s="20">
        <f>-1420-C64</f>
        <v>-774</v>
      </c>
      <c r="E64" s="20">
        <f>-2124-D64-C64</f>
        <v>-704</v>
      </c>
      <c r="F64" s="20">
        <f t="shared" si="13"/>
        <v>-902</v>
      </c>
      <c r="G64" s="54">
        <f>-3026</f>
        <v>-3026</v>
      </c>
      <c r="H64" s="20">
        <v>-568</v>
      </c>
      <c r="I64" s="20">
        <f>-1297-H64</f>
        <v>-729</v>
      </c>
      <c r="J64" s="20">
        <f>-1971-I64-H64</f>
        <v>-674</v>
      </c>
      <c r="K64" s="20">
        <f t="shared" si="14"/>
        <v>-1137</v>
      </c>
      <c r="L64" s="54">
        <v>-3108</v>
      </c>
      <c r="M64" s="20">
        <v>-342</v>
      </c>
      <c r="N64" s="20">
        <f>-856-M64</f>
        <v>-514</v>
      </c>
      <c r="O64" s="20">
        <f>-1448-M64-N64</f>
        <v>-592</v>
      </c>
      <c r="P64" s="20">
        <f t="shared" si="15"/>
        <v>-1119</v>
      </c>
      <c r="Q64" s="54">
        <v>-2567</v>
      </c>
    </row>
    <row r="65" spans="2:17" x14ac:dyDescent="0.25">
      <c r="B65" s="2" t="s">
        <v>121</v>
      </c>
      <c r="C65" s="20">
        <v>-1</v>
      </c>
      <c r="D65" s="7">
        <f>0-C65</f>
        <v>1</v>
      </c>
      <c r="E65" s="20">
        <f>-8-D65-C65</f>
        <v>-8</v>
      </c>
      <c r="F65" s="7">
        <f t="shared" si="13"/>
        <v>3</v>
      </c>
      <c r="G65" s="54">
        <v>-5</v>
      </c>
      <c r="H65" s="20">
        <v>-2</v>
      </c>
      <c r="I65" s="7">
        <f>-1-H65</f>
        <v>1</v>
      </c>
      <c r="J65" s="7">
        <f>-1-H65-I65</f>
        <v>0</v>
      </c>
      <c r="K65" s="20">
        <f t="shared" si="14"/>
        <v>-3</v>
      </c>
      <c r="L65" s="54">
        <v>-4</v>
      </c>
      <c r="M65" s="20">
        <v>-3</v>
      </c>
      <c r="N65" s="20">
        <f>-10-M65</f>
        <v>-7</v>
      </c>
      <c r="O65" s="7">
        <f>-10-M65-N65</f>
        <v>0</v>
      </c>
      <c r="P65" s="7">
        <f t="shared" si="15"/>
        <v>1</v>
      </c>
      <c r="Q65" s="54">
        <v>-9</v>
      </c>
    </row>
    <row r="66" spans="2:17" x14ac:dyDescent="0.25">
      <c r="B66" s="2" t="s">
        <v>122</v>
      </c>
      <c r="C66" s="20">
        <v>-56</v>
      </c>
      <c r="D66" s="20">
        <f>-104-C66</f>
        <v>-48</v>
      </c>
      <c r="E66" s="7">
        <f>-97-D66-C66</f>
        <v>7</v>
      </c>
      <c r="F66" s="20">
        <f t="shared" si="13"/>
        <v>-84</v>
      </c>
      <c r="G66" s="54">
        <v>-181</v>
      </c>
      <c r="H66" s="20">
        <v>-12</v>
      </c>
      <c r="I66" s="20">
        <f>-13-H66</f>
        <v>-1</v>
      </c>
      <c r="J66" s="20">
        <f>-65-H66-I66</f>
        <v>-52</v>
      </c>
      <c r="K66" s="20">
        <f t="shared" si="14"/>
        <v>-109</v>
      </c>
      <c r="L66" s="54">
        <v>-174</v>
      </c>
      <c r="M66" s="20">
        <v>-7</v>
      </c>
      <c r="N66" s="7">
        <f>-1-M66</f>
        <v>6</v>
      </c>
      <c r="O66" s="20">
        <f>-108-M66-N66</f>
        <v>-107</v>
      </c>
      <c r="P66" s="20">
        <f t="shared" si="15"/>
        <v>-7</v>
      </c>
      <c r="Q66" s="54">
        <v>-115</v>
      </c>
    </row>
    <row r="67" spans="2:17" x14ac:dyDescent="0.25">
      <c r="B67" s="12" t="s">
        <v>123</v>
      </c>
      <c r="C67" s="31">
        <f t="shared" ref="C67:Q67" si="16">SUM(C58:C66)</f>
        <v>-75</v>
      </c>
      <c r="D67" s="31">
        <f t="shared" si="16"/>
        <v>-592</v>
      </c>
      <c r="E67" s="31">
        <f t="shared" si="16"/>
        <v>-579</v>
      </c>
      <c r="F67" s="31">
        <f t="shared" si="16"/>
        <v>-694</v>
      </c>
      <c r="G67" s="69">
        <f t="shared" si="16"/>
        <v>-1940</v>
      </c>
      <c r="H67" s="31">
        <f t="shared" si="16"/>
        <v>-564</v>
      </c>
      <c r="I67" s="31">
        <f t="shared" si="16"/>
        <v>-462</v>
      </c>
      <c r="J67" s="31">
        <f t="shared" si="16"/>
        <v>-671</v>
      </c>
      <c r="K67" s="14">
        <f t="shared" si="16"/>
        <v>2828</v>
      </c>
      <c r="L67" s="64">
        <f t="shared" si="16"/>
        <v>1131</v>
      </c>
      <c r="M67" s="31">
        <f t="shared" si="16"/>
        <v>-250</v>
      </c>
      <c r="N67" s="31">
        <f t="shared" si="16"/>
        <v>-338</v>
      </c>
      <c r="O67" s="31">
        <f t="shared" si="16"/>
        <v>-756</v>
      </c>
      <c r="P67" s="14">
        <f t="shared" si="16"/>
        <v>209</v>
      </c>
      <c r="Q67" s="69">
        <f t="shared" si="16"/>
        <v>-1135</v>
      </c>
    </row>
    <row r="68" spans="2:17" x14ac:dyDescent="0.25">
      <c r="B68" s="2"/>
      <c r="C68" s="7"/>
      <c r="D68" s="7"/>
      <c r="E68" s="7"/>
      <c r="F68" s="7"/>
      <c r="G68" s="51"/>
      <c r="H68" s="7"/>
      <c r="I68" s="7"/>
      <c r="J68" s="7"/>
      <c r="K68" s="7"/>
      <c r="L68" s="51"/>
      <c r="M68" s="7"/>
      <c r="N68" s="7"/>
      <c r="O68" s="7"/>
      <c r="P68" s="7"/>
      <c r="Q68" s="51"/>
    </row>
    <row r="69" spans="2:17" x14ac:dyDescent="0.25">
      <c r="B69" s="1" t="s">
        <v>124</v>
      </c>
      <c r="C69" s="7"/>
      <c r="D69" s="7"/>
      <c r="E69" s="7"/>
      <c r="F69" s="7"/>
      <c r="G69" s="51"/>
      <c r="H69" s="7"/>
      <c r="I69" s="7"/>
      <c r="J69" s="7"/>
      <c r="K69" s="7"/>
      <c r="L69" s="51"/>
      <c r="M69" s="7"/>
      <c r="N69" s="7"/>
      <c r="O69" s="7"/>
      <c r="P69" s="7"/>
      <c r="Q69" s="51"/>
    </row>
    <row r="70" spans="2:17" x14ac:dyDescent="0.25">
      <c r="B70" s="2" t="s">
        <v>125</v>
      </c>
      <c r="C70" s="7">
        <v>1374</v>
      </c>
      <c r="D70" s="7">
        <f>1992-C70</f>
        <v>618</v>
      </c>
      <c r="E70" s="7">
        <f>3030-D70-C70</f>
        <v>1038</v>
      </c>
      <c r="F70" s="7">
        <f t="shared" ref="F70:F74" si="17">G70-SUM(C70:E70)</f>
        <v>3132</v>
      </c>
      <c r="G70" s="51">
        <v>6162</v>
      </c>
      <c r="H70" s="7">
        <v>1211</v>
      </c>
      <c r="I70" s="7">
        <f>3568-H70</f>
        <v>2357</v>
      </c>
      <c r="J70" s="7">
        <f>4393-H70-I70</f>
        <v>825</v>
      </c>
      <c r="K70" s="7">
        <f>L70-SUM(H70:J70)</f>
        <v>1006</v>
      </c>
      <c r="L70" s="51">
        <v>5399</v>
      </c>
      <c r="M70" s="7">
        <v>595</v>
      </c>
      <c r="N70" s="7">
        <f>2088-M70</f>
        <v>1493</v>
      </c>
      <c r="O70" s="7">
        <f>2924-M70-N70</f>
        <v>836</v>
      </c>
      <c r="P70" s="7">
        <f t="shared" ref="P70:P74" si="18">Q70-SUM(M70:O70)</f>
        <v>741</v>
      </c>
      <c r="Q70" s="51">
        <v>3665</v>
      </c>
    </row>
    <row r="71" spans="2:17" x14ac:dyDescent="0.25">
      <c r="B71" s="2" t="s">
        <v>126</v>
      </c>
      <c r="C71" s="20">
        <v>-3203</v>
      </c>
      <c r="D71" s="20">
        <f>-3927-C71</f>
        <v>-724</v>
      </c>
      <c r="E71" s="20">
        <f>-4664-D71-C71</f>
        <v>-737</v>
      </c>
      <c r="F71" s="20">
        <f t="shared" si="17"/>
        <v>-2712</v>
      </c>
      <c r="G71" s="54">
        <v>-7376</v>
      </c>
      <c r="H71" s="20">
        <v>-1083</v>
      </c>
      <c r="I71" s="20">
        <f>-2874-H71</f>
        <v>-1791</v>
      </c>
      <c r="J71" s="20">
        <f>-3818-I71-H71</f>
        <v>-944</v>
      </c>
      <c r="K71" s="20">
        <f>L71-SUM(H71:J71)</f>
        <v>-2063</v>
      </c>
      <c r="L71" s="54">
        <v>-5881</v>
      </c>
      <c r="M71" s="20">
        <v>-1961</v>
      </c>
      <c r="N71" s="20">
        <f>-3846-M71</f>
        <v>-1885</v>
      </c>
      <c r="O71" s="20">
        <f>-4812-M71-N71</f>
        <v>-966</v>
      </c>
      <c r="P71" s="20">
        <f t="shared" si="18"/>
        <v>-720</v>
      </c>
      <c r="Q71" s="54">
        <v>-5532</v>
      </c>
    </row>
    <row r="72" spans="2:17" x14ac:dyDescent="0.25">
      <c r="B72" s="2" t="s">
        <v>94</v>
      </c>
      <c r="C72" s="20">
        <v>-23</v>
      </c>
      <c r="D72" s="20">
        <f>-133-C72</f>
        <v>-110</v>
      </c>
      <c r="E72" s="20">
        <f>-251-D72-C72</f>
        <v>-118</v>
      </c>
      <c r="F72" s="20">
        <f t="shared" si="17"/>
        <v>-120</v>
      </c>
      <c r="G72" s="54">
        <v>-371</v>
      </c>
      <c r="H72" s="20">
        <v>-81</v>
      </c>
      <c r="I72" s="20">
        <f>-115-H72</f>
        <v>-34</v>
      </c>
      <c r="J72" s="20">
        <f>-211-I72-H72</f>
        <v>-96</v>
      </c>
      <c r="K72" s="20">
        <f>L72-SUM(H72:J72)</f>
        <v>-350</v>
      </c>
      <c r="L72" s="54">
        <v>-561</v>
      </c>
      <c r="M72" s="20">
        <v>-50</v>
      </c>
      <c r="N72" s="7">
        <f>-7-M72</f>
        <v>43</v>
      </c>
      <c r="O72" s="20">
        <f>-12-M72-N72</f>
        <v>-5</v>
      </c>
      <c r="P72" s="7">
        <f t="shared" si="18"/>
        <v>1</v>
      </c>
      <c r="Q72" s="54">
        <v>-11</v>
      </c>
    </row>
    <row r="73" spans="2:17" x14ac:dyDescent="0.25">
      <c r="B73" s="37" t="s">
        <v>142</v>
      </c>
      <c r="C73" s="7">
        <v>0</v>
      </c>
      <c r="D73" s="7">
        <v>0</v>
      </c>
      <c r="E73" s="7">
        <v>0</v>
      </c>
      <c r="F73" s="7">
        <v>0</v>
      </c>
      <c r="G73" s="51">
        <v>0</v>
      </c>
      <c r="H73" s="7">
        <v>0</v>
      </c>
      <c r="I73" s="7">
        <v>0</v>
      </c>
      <c r="J73" s="7">
        <v>0</v>
      </c>
      <c r="K73" s="7">
        <v>0</v>
      </c>
      <c r="L73" s="51">
        <v>0</v>
      </c>
      <c r="M73" s="20">
        <v>-95</v>
      </c>
      <c r="N73" s="7">
        <f>-95-M73</f>
        <v>0</v>
      </c>
      <c r="O73" s="7">
        <f>-95-M73-N73</f>
        <v>0</v>
      </c>
      <c r="P73" s="7">
        <f t="shared" si="18"/>
        <v>0</v>
      </c>
      <c r="Q73" s="54">
        <v>-95</v>
      </c>
    </row>
    <row r="74" spans="2:17" x14ac:dyDescent="0.25">
      <c r="B74" s="2" t="s">
        <v>127</v>
      </c>
      <c r="C74" s="20">
        <v>-5</v>
      </c>
      <c r="D74" s="20">
        <f>-71-C74</f>
        <v>-66</v>
      </c>
      <c r="E74" s="20">
        <f>-76-D74-C74</f>
        <v>-5</v>
      </c>
      <c r="F74" s="20">
        <f t="shared" si="17"/>
        <v>-29</v>
      </c>
      <c r="G74" s="54">
        <v>-105</v>
      </c>
      <c r="H74" s="20">
        <v>-4</v>
      </c>
      <c r="I74" s="20">
        <f>-160-H74</f>
        <v>-156</v>
      </c>
      <c r="J74" s="20">
        <f>-194-H74-I74</f>
        <v>-34</v>
      </c>
      <c r="K74" s="20">
        <f>L74-SUM(H74:J74)</f>
        <v>-165</v>
      </c>
      <c r="L74" s="54">
        <v>-359</v>
      </c>
      <c r="M74" s="20">
        <v>-8</v>
      </c>
      <c r="N74" s="20">
        <f>-538-M74</f>
        <v>-530</v>
      </c>
      <c r="O74" s="20">
        <f>-781-25-M74-N74</f>
        <v>-268</v>
      </c>
      <c r="P74" s="20">
        <f t="shared" si="18"/>
        <v>-44</v>
      </c>
      <c r="Q74" s="54">
        <f>-789-61</f>
        <v>-850</v>
      </c>
    </row>
    <row r="75" spans="2:17" x14ac:dyDescent="0.25">
      <c r="B75" s="12" t="s">
        <v>128</v>
      </c>
      <c r="C75" s="31">
        <f t="shared" ref="C75:Q75" si="19">SUM(C70:C74)</f>
        <v>-1857</v>
      </c>
      <c r="D75" s="31">
        <f t="shared" si="19"/>
        <v>-282</v>
      </c>
      <c r="E75" s="14">
        <f t="shared" si="19"/>
        <v>178</v>
      </c>
      <c r="F75" s="14">
        <f t="shared" si="19"/>
        <v>271</v>
      </c>
      <c r="G75" s="69">
        <f t="shared" si="19"/>
        <v>-1690</v>
      </c>
      <c r="H75" s="14">
        <f t="shared" si="19"/>
        <v>43</v>
      </c>
      <c r="I75" s="14">
        <f t="shared" si="19"/>
        <v>376</v>
      </c>
      <c r="J75" s="31">
        <f t="shared" si="19"/>
        <v>-249</v>
      </c>
      <c r="K75" s="31">
        <f t="shared" si="19"/>
        <v>-1572</v>
      </c>
      <c r="L75" s="69">
        <f t="shared" si="19"/>
        <v>-1402</v>
      </c>
      <c r="M75" s="31">
        <f t="shared" si="19"/>
        <v>-1519</v>
      </c>
      <c r="N75" s="31">
        <f t="shared" si="19"/>
        <v>-879</v>
      </c>
      <c r="O75" s="31">
        <f t="shared" si="19"/>
        <v>-403</v>
      </c>
      <c r="P75" s="31">
        <f t="shared" si="19"/>
        <v>-22</v>
      </c>
      <c r="Q75" s="69">
        <f t="shared" si="19"/>
        <v>-2823</v>
      </c>
    </row>
    <row r="76" spans="2:17" x14ac:dyDescent="0.25">
      <c r="B76" s="2"/>
      <c r="C76" s="7"/>
      <c r="D76" s="7"/>
      <c r="E76" s="7"/>
      <c r="F76" s="7"/>
      <c r="G76" s="51"/>
      <c r="H76" s="7"/>
      <c r="I76" s="7"/>
      <c r="J76" s="7"/>
      <c r="K76" s="7"/>
      <c r="L76" s="51"/>
      <c r="M76" s="7"/>
      <c r="N76" s="7"/>
      <c r="O76" s="7"/>
      <c r="P76" s="7"/>
      <c r="Q76" s="51"/>
    </row>
    <row r="77" spans="2:17" x14ac:dyDescent="0.25">
      <c r="B77" s="2" t="s">
        <v>129</v>
      </c>
      <c r="C77" s="19">
        <f t="shared" ref="C77:Q77" si="20">C55+C67+C75</f>
        <v>-678</v>
      </c>
      <c r="D77" s="32">
        <f t="shared" si="20"/>
        <v>11</v>
      </c>
      <c r="E77" s="19">
        <f t="shared" si="20"/>
        <v>-367</v>
      </c>
      <c r="F77" s="32">
        <f t="shared" si="20"/>
        <v>2196</v>
      </c>
      <c r="G77" s="70">
        <f t="shared" si="20"/>
        <v>1162</v>
      </c>
      <c r="H77" s="19">
        <f t="shared" si="20"/>
        <v>-1009</v>
      </c>
      <c r="I77" s="32">
        <f t="shared" si="20"/>
        <v>143</v>
      </c>
      <c r="J77" s="19">
        <f t="shared" si="20"/>
        <v>-332</v>
      </c>
      <c r="K77" s="32">
        <f t="shared" si="20"/>
        <v>3038</v>
      </c>
      <c r="L77" s="70">
        <f t="shared" si="20"/>
        <v>1840</v>
      </c>
      <c r="M77" s="19">
        <f t="shared" si="20"/>
        <v>-2299</v>
      </c>
      <c r="N77" s="19">
        <f t="shared" si="20"/>
        <v>-390</v>
      </c>
      <c r="O77" s="19">
        <f t="shared" si="20"/>
        <v>-534</v>
      </c>
      <c r="P77" s="32">
        <f t="shared" si="20"/>
        <v>962</v>
      </c>
      <c r="Q77" s="52">
        <f t="shared" si="20"/>
        <v>-2261</v>
      </c>
    </row>
    <row r="78" spans="2:17" x14ac:dyDescent="0.25">
      <c r="B78" s="2"/>
      <c r="C78" s="7"/>
      <c r="D78" s="7"/>
      <c r="E78" s="7"/>
      <c r="F78" s="20"/>
      <c r="G78" s="54"/>
      <c r="H78" s="20"/>
      <c r="I78" s="7"/>
      <c r="J78" s="7"/>
      <c r="K78" s="20"/>
      <c r="L78" s="51"/>
      <c r="M78" s="7"/>
      <c r="N78" s="7"/>
      <c r="O78" s="7"/>
      <c r="P78" s="20"/>
      <c r="Q78" s="51"/>
    </row>
    <row r="79" spans="2:17" x14ac:dyDescent="0.25">
      <c r="B79" s="37" t="s">
        <v>144</v>
      </c>
      <c r="C79" s="7">
        <v>177</v>
      </c>
      <c r="D79" s="7">
        <f>177-C79</f>
        <v>0</v>
      </c>
      <c r="E79" s="7">
        <f>177-D79-C79</f>
        <v>0</v>
      </c>
      <c r="F79" s="7">
        <f t="shared" ref="F79:F82" si="21">G79-SUM(C79:E79)</f>
        <v>0</v>
      </c>
      <c r="G79" s="51">
        <v>177</v>
      </c>
      <c r="H79" s="7">
        <v>0</v>
      </c>
      <c r="I79" s="7">
        <v>0</v>
      </c>
      <c r="J79" s="7">
        <v>0</v>
      </c>
      <c r="K79" s="7">
        <f>L79-SUM(H79:J79)</f>
        <v>0</v>
      </c>
      <c r="L79" s="51">
        <v>0</v>
      </c>
      <c r="M79" s="7">
        <v>0</v>
      </c>
      <c r="N79" s="7">
        <v>0</v>
      </c>
      <c r="O79" s="7">
        <v>0</v>
      </c>
      <c r="P79" s="7">
        <f>Q79-SUM(M79:O79)</f>
        <v>0</v>
      </c>
      <c r="Q79" s="51">
        <v>0</v>
      </c>
    </row>
    <row r="80" spans="2:17" x14ac:dyDescent="0.25">
      <c r="B80" s="37" t="s">
        <v>146</v>
      </c>
      <c r="C80" s="7">
        <v>0</v>
      </c>
      <c r="D80" s="7">
        <v>0</v>
      </c>
      <c r="E80" s="7">
        <v>0</v>
      </c>
      <c r="F80" s="7">
        <v>0</v>
      </c>
      <c r="G80" s="51">
        <v>0</v>
      </c>
      <c r="H80" s="7">
        <v>0</v>
      </c>
      <c r="I80" s="7">
        <v>0</v>
      </c>
      <c r="J80" s="7">
        <v>0</v>
      </c>
      <c r="K80" s="7">
        <f>L80-SUM(H80:J80)</f>
        <v>0</v>
      </c>
      <c r="L80" s="51">
        <v>0</v>
      </c>
      <c r="M80" s="7">
        <v>0</v>
      </c>
      <c r="N80" s="7">
        <v>0</v>
      </c>
      <c r="O80" s="7">
        <v>0</v>
      </c>
      <c r="P80" s="7">
        <f>Q80-SUM(M80:O80)</f>
        <v>0</v>
      </c>
      <c r="Q80" s="51">
        <v>0</v>
      </c>
    </row>
    <row r="81" spans="1:17" x14ac:dyDescent="0.25">
      <c r="B81" s="2" t="s">
        <v>130</v>
      </c>
      <c r="C81" s="7">
        <v>0</v>
      </c>
      <c r="D81" s="7">
        <v>0</v>
      </c>
      <c r="E81" s="7">
        <v>0</v>
      </c>
      <c r="F81" s="7">
        <v>0</v>
      </c>
      <c r="G81" s="51">
        <v>0</v>
      </c>
      <c r="H81" s="7">
        <v>0</v>
      </c>
      <c r="I81" s="7">
        <v>0</v>
      </c>
      <c r="J81" s="7">
        <v>0</v>
      </c>
      <c r="K81" s="7">
        <v>0</v>
      </c>
      <c r="L81" s="51">
        <v>0</v>
      </c>
      <c r="M81" s="7">
        <v>0</v>
      </c>
      <c r="N81" s="20">
        <f>-14-M81</f>
        <v>-14</v>
      </c>
      <c r="O81" s="7">
        <f>-14-M81-N81</f>
        <v>0</v>
      </c>
      <c r="P81" s="20">
        <f>Q81-SUM(M81:O81)</f>
        <v>-95</v>
      </c>
      <c r="Q81" s="54">
        <f>-109</f>
        <v>-109</v>
      </c>
    </row>
    <row r="82" spans="1:17" x14ac:dyDescent="0.25">
      <c r="B82" s="2" t="s">
        <v>131</v>
      </c>
      <c r="C82" s="20">
        <v>-369</v>
      </c>
      <c r="D82" s="20">
        <f>-800-C82</f>
        <v>-431</v>
      </c>
      <c r="E82" s="7">
        <f>-784-D82-C82</f>
        <v>16</v>
      </c>
      <c r="F82" s="20">
        <f t="shared" si="21"/>
        <v>-258</v>
      </c>
      <c r="G82" s="54">
        <v>-1042</v>
      </c>
      <c r="H82" s="20">
        <v>-119</v>
      </c>
      <c r="I82" s="7">
        <f>481-H82</f>
        <v>600</v>
      </c>
      <c r="J82" s="20">
        <f>39-I82-H82</f>
        <v>-442</v>
      </c>
      <c r="K82" s="7">
        <f>L82-SUM(H82:J82)</f>
        <v>352</v>
      </c>
      <c r="L82" s="51">
        <v>391</v>
      </c>
      <c r="M82" s="7">
        <v>57</v>
      </c>
      <c r="N82" s="7">
        <f>796-M82</f>
        <v>739</v>
      </c>
      <c r="O82" s="7">
        <f>1031-M82-N82</f>
        <v>235</v>
      </c>
      <c r="P82" s="20">
        <f>Q82-SUM(M82:O82)</f>
        <v>-171</v>
      </c>
      <c r="Q82" s="51">
        <v>860</v>
      </c>
    </row>
    <row r="83" spans="1:17" x14ac:dyDescent="0.25">
      <c r="B83" s="2" t="s">
        <v>132</v>
      </c>
      <c r="C83" s="7">
        <v>6649</v>
      </c>
      <c r="D83" s="7">
        <v>5779</v>
      </c>
      <c r="E83" s="7">
        <v>5359</v>
      </c>
      <c r="F83" s="7">
        <v>5008</v>
      </c>
      <c r="G83" s="51">
        <v>6649</v>
      </c>
      <c r="H83" s="7">
        <v>6946</v>
      </c>
      <c r="I83" s="7">
        <v>5818</v>
      </c>
      <c r="J83" s="7">
        <v>6561</v>
      </c>
      <c r="K83" s="7">
        <v>5788</v>
      </c>
      <c r="L83" s="51">
        <v>6946</v>
      </c>
      <c r="M83" s="7">
        <v>8960</v>
      </c>
      <c r="N83" s="7">
        <v>6718</v>
      </c>
      <c r="O83" s="7">
        <v>7053</v>
      </c>
      <c r="P83" s="7">
        <v>6754</v>
      </c>
      <c r="Q83" s="51">
        <v>9177</v>
      </c>
    </row>
    <row r="84" spans="1:17" ht="15.75" thickBot="1" x14ac:dyDescent="0.3">
      <c r="B84" s="1" t="s">
        <v>133</v>
      </c>
      <c r="C84" s="15">
        <f t="shared" ref="C84:O84" si="22">SUM(C77:C83)</f>
        <v>5779</v>
      </c>
      <c r="D84" s="15">
        <f t="shared" si="22"/>
        <v>5359</v>
      </c>
      <c r="E84" s="15">
        <f t="shared" si="22"/>
        <v>5008</v>
      </c>
      <c r="F84" s="15">
        <f t="shared" si="22"/>
        <v>6946</v>
      </c>
      <c r="G84" s="65">
        <f t="shared" si="22"/>
        <v>6946</v>
      </c>
      <c r="H84" s="15">
        <f t="shared" si="22"/>
        <v>5818</v>
      </c>
      <c r="I84" s="15">
        <f t="shared" si="22"/>
        <v>6561</v>
      </c>
      <c r="J84" s="15">
        <f t="shared" si="22"/>
        <v>5787</v>
      </c>
      <c r="K84" s="15">
        <f t="shared" si="22"/>
        <v>9178</v>
      </c>
      <c r="L84" s="65">
        <f t="shared" si="22"/>
        <v>9177</v>
      </c>
      <c r="M84" s="15">
        <f t="shared" si="22"/>
        <v>6718</v>
      </c>
      <c r="N84" s="15">
        <f t="shared" si="22"/>
        <v>7053</v>
      </c>
      <c r="O84" s="15">
        <f t="shared" si="22"/>
        <v>6754</v>
      </c>
      <c r="P84" s="15">
        <f t="shared" ref="P84:Q84" si="23">SUM(P77:P83)</f>
        <v>7450</v>
      </c>
      <c r="Q84" s="65">
        <f t="shared" si="23"/>
        <v>7667</v>
      </c>
    </row>
    <row r="85" spans="1:17" ht="15.75" thickTop="1" x14ac:dyDescent="0.25"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7" x14ac:dyDescent="0.25">
      <c r="A86" s="36"/>
      <c r="B86" s="3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17" x14ac:dyDescent="0.25"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x14ac:dyDescent="0.25"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x14ac:dyDescent="0.25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 x14ac:dyDescent="0.25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7" x14ac:dyDescent="0.25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</sheetData>
  <mergeCells count="3">
    <mergeCell ref="C4:G5"/>
    <mergeCell ref="H4:L5"/>
    <mergeCell ref="M4:Q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" numberStoredAsText="1"/>
    <ignoredError sqref="K79:K80 K59:K61 K14:K27 P17:P33 P79:P80 P35:P63" formulaRange="1"/>
    <ignoredError sqref="P34" formula="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4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4" sqref="B4"/>
    </sheetView>
  </sheetViews>
  <sheetFormatPr defaultRowHeight="15" x14ac:dyDescent="0.25"/>
  <cols>
    <col min="1" max="1" width="3.42578125" customWidth="1"/>
    <col min="2" max="2" width="83.42578125" bestFit="1" customWidth="1"/>
    <col min="3" max="17" width="18" customWidth="1"/>
  </cols>
  <sheetData>
    <row r="4" spans="2:17" x14ac:dyDescent="0.25">
      <c r="B4" s="3"/>
      <c r="C4" s="72" t="s">
        <v>0</v>
      </c>
      <c r="D4" s="72"/>
      <c r="E4" s="72"/>
      <c r="F4" s="72"/>
      <c r="G4" s="72"/>
      <c r="H4" s="73" t="s">
        <v>1</v>
      </c>
      <c r="I4" s="73"/>
      <c r="J4" s="73"/>
      <c r="K4" s="73"/>
      <c r="L4" s="73"/>
      <c r="M4" s="73" t="s">
        <v>2</v>
      </c>
      <c r="N4" s="73"/>
      <c r="O4" s="73"/>
      <c r="P4" s="73"/>
      <c r="Q4" s="73"/>
    </row>
    <row r="5" spans="2:17" ht="15.75" x14ac:dyDescent="0.25">
      <c r="B5" s="4" t="s">
        <v>186</v>
      </c>
      <c r="C5" s="72"/>
      <c r="D5" s="72"/>
      <c r="E5" s="72"/>
      <c r="F5" s="72"/>
      <c r="G5" s="72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2:17" ht="15.75" x14ac:dyDescent="0.25">
      <c r="B6" s="4" t="s">
        <v>147</v>
      </c>
      <c r="C6" s="6" t="s">
        <v>149</v>
      </c>
      <c r="D6" s="6" t="s">
        <v>150</v>
      </c>
      <c r="E6" s="47" t="s">
        <v>151</v>
      </c>
      <c r="F6" s="47" t="s">
        <v>152</v>
      </c>
      <c r="G6" s="48" t="s">
        <v>0</v>
      </c>
      <c r="H6" s="47" t="s">
        <v>153</v>
      </c>
      <c r="I6" s="47" t="s">
        <v>154</v>
      </c>
      <c r="J6" s="47" t="s">
        <v>155</v>
      </c>
      <c r="K6" s="47" t="s">
        <v>156</v>
      </c>
      <c r="L6" s="47" t="s">
        <v>1</v>
      </c>
      <c r="M6" s="47" t="s">
        <v>157</v>
      </c>
      <c r="N6" s="47" t="s">
        <v>158</v>
      </c>
      <c r="O6" s="47" t="s">
        <v>159</v>
      </c>
      <c r="P6" s="47" t="s">
        <v>160</v>
      </c>
      <c r="Q6" s="47" t="s">
        <v>2</v>
      </c>
    </row>
    <row r="7" spans="2:17" x14ac:dyDescent="0.25">
      <c r="B7" s="12" t="s">
        <v>179</v>
      </c>
      <c r="G7" s="50"/>
      <c r="L7" s="50"/>
      <c r="Q7" s="50"/>
    </row>
    <row r="8" spans="2:17" s="16" customFormat="1" x14ac:dyDescent="0.25">
      <c r="B8" s="1" t="s">
        <v>78</v>
      </c>
      <c r="C8" s="27">
        <v>458</v>
      </c>
      <c r="D8" s="27">
        <v>176</v>
      </c>
      <c r="E8" s="27">
        <v>414</v>
      </c>
      <c r="F8" s="34">
        <v>-1251</v>
      </c>
      <c r="G8" s="66">
        <v>-1251</v>
      </c>
      <c r="H8" s="34">
        <v>-1939</v>
      </c>
      <c r="I8" s="34">
        <v>-1704</v>
      </c>
      <c r="J8" s="34">
        <v>-1333</v>
      </c>
      <c r="K8" s="27">
        <v>810</v>
      </c>
      <c r="L8" s="68">
        <v>810</v>
      </c>
      <c r="M8" s="27">
        <v>1506</v>
      </c>
      <c r="N8" s="27">
        <v>1035</v>
      </c>
      <c r="O8" s="27">
        <v>691</v>
      </c>
      <c r="P8" s="27">
        <v>1953</v>
      </c>
      <c r="Q8" s="68">
        <v>1953</v>
      </c>
    </row>
    <row r="9" spans="2:17" s="40" customFormat="1" x14ac:dyDescent="0.25">
      <c r="B9" s="44" t="s">
        <v>169</v>
      </c>
      <c r="C9" s="34"/>
      <c r="D9" s="34"/>
      <c r="E9" s="34"/>
      <c r="F9" s="34"/>
      <c r="G9" s="66"/>
      <c r="H9" s="34"/>
      <c r="I9" s="34"/>
      <c r="J9" s="34"/>
      <c r="K9" s="34"/>
      <c r="L9" s="66"/>
      <c r="M9" s="34"/>
      <c r="N9" s="34"/>
      <c r="O9" s="34"/>
      <c r="P9" s="34"/>
      <c r="Q9" s="66"/>
    </row>
    <row r="10" spans="2:17" x14ac:dyDescent="0.25">
      <c r="B10" s="12" t="s">
        <v>161</v>
      </c>
      <c r="C10" s="13"/>
      <c r="D10" s="13"/>
      <c r="E10" s="13"/>
      <c r="F10" s="13"/>
      <c r="G10" s="53"/>
      <c r="H10" s="13"/>
      <c r="I10" s="13"/>
      <c r="J10" s="13"/>
      <c r="K10" s="13"/>
      <c r="L10" s="53"/>
      <c r="M10" s="13"/>
      <c r="N10" s="13"/>
      <c r="O10" s="13"/>
      <c r="P10" s="13"/>
      <c r="Q10" s="53"/>
    </row>
    <row r="11" spans="2:17" x14ac:dyDescent="0.25">
      <c r="B11" s="2" t="s">
        <v>162</v>
      </c>
      <c r="C11" s="20">
        <f>-807+9</f>
        <v>-798</v>
      </c>
      <c r="D11" s="20">
        <f>-843+14</f>
        <v>-829</v>
      </c>
      <c r="E11" s="20">
        <f>-938+5</f>
        <v>-933</v>
      </c>
      <c r="F11" s="20">
        <v>-774</v>
      </c>
      <c r="G11" s="54">
        <v>-774</v>
      </c>
      <c r="H11" s="20">
        <f>-590+3+4</f>
        <v>-583</v>
      </c>
      <c r="I11" s="20">
        <f>-654+12-1</f>
        <v>-643</v>
      </c>
      <c r="J11" s="20">
        <v>-1105</v>
      </c>
      <c r="K11" s="20">
        <v>-1197</v>
      </c>
      <c r="L11" s="54">
        <v>-1197</v>
      </c>
      <c r="M11" s="20">
        <v>-1447</v>
      </c>
      <c r="N11" s="20">
        <v>-1149</v>
      </c>
      <c r="O11" s="20">
        <v>-839</v>
      </c>
      <c r="P11" s="20">
        <v>-1634</v>
      </c>
      <c r="Q11" s="54">
        <v>-1634</v>
      </c>
    </row>
    <row r="12" spans="2:17" x14ac:dyDescent="0.25">
      <c r="B12" s="2" t="s">
        <v>163</v>
      </c>
      <c r="C12" s="7">
        <f>2108-29</f>
        <v>2079</v>
      </c>
      <c r="D12" s="7">
        <f>2151-53</f>
        <v>2098</v>
      </c>
      <c r="E12" s="7">
        <f>1814-22-63</f>
        <v>1729</v>
      </c>
      <c r="F12" s="7">
        <v>1745</v>
      </c>
      <c r="G12" s="51">
        <v>1745</v>
      </c>
      <c r="H12" s="7">
        <f>1786-10+15</f>
        <v>1791</v>
      </c>
      <c r="I12" s="7">
        <f>1444-50+39</f>
        <v>1433</v>
      </c>
      <c r="J12" s="7">
        <f>1583-64</f>
        <v>1519</v>
      </c>
      <c r="K12" s="7">
        <v>2506</v>
      </c>
      <c r="L12" s="51">
        <v>2506</v>
      </c>
      <c r="M12" s="7">
        <v>2414</v>
      </c>
      <c r="N12" s="7">
        <v>3118</v>
      </c>
      <c r="O12" s="7">
        <v>3243</v>
      </c>
      <c r="P12" s="7">
        <v>2051</v>
      </c>
      <c r="Q12" s="51">
        <v>2051</v>
      </c>
    </row>
    <row r="13" spans="2:17" x14ac:dyDescent="0.25">
      <c r="B13" s="2" t="s">
        <v>164</v>
      </c>
      <c r="C13" s="7">
        <f>960-5</f>
        <v>955</v>
      </c>
      <c r="D13" s="7">
        <f>781-10</f>
        <v>771</v>
      </c>
      <c r="E13" s="7">
        <f>785-17</f>
        <v>768</v>
      </c>
      <c r="F13" s="20">
        <v>-397</v>
      </c>
      <c r="G13" s="54">
        <v>-397</v>
      </c>
      <c r="H13" s="20">
        <f>-483+45+3</f>
        <v>-435</v>
      </c>
      <c r="I13" s="20">
        <f>-343+66+8</f>
        <v>-269</v>
      </c>
      <c r="J13" s="20">
        <f>-489+84</f>
        <v>-405</v>
      </c>
      <c r="K13" s="7">
        <v>133</v>
      </c>
      <c r="L13" s="51">
        <v>133</v>
      </c>
      <c r="M13" s="7">
        <v>293</v>
      </c>
      <c r="N13" s="7">
        <v>227</v>
      </c>
      <c r="O13" s="7">
        <v>397</v>
      </c>
      <c r="P13" s="7">
        <v>1066</v>
      </c>
      <c r="Q13" s="51">
        <v>1066</v>
      </c>
    </row>
    <row r="14" spans="2:17" x14ac:dyDescent="0.25">
      <c r="B14" s="2" t="s">
        <v>165</v>
      </c>
      <c r="C14" s="7">
        <f>2846-29</f>
        <v>2817</v>
      </c>
      <c r="D14" s="7">
        <f>2856-58</f>
        <v>2798</v>
      </c>
      <c r="E14" s="7">
        <f>2837-142</f>
        <v>2695</v>
      </c>
      <c r="F14" s="7">
        <v>2603</v>
      </c>
      <c r="G14" s="51">
        <v>2603</v>
      </c>
      <c r="H14" s="7">
        <f>2582-14-32</f>
        <v>2536</v>
      </c>
      <c r="I14" s="7">
        <f>2513-18-3</f>
        <v>2492</v>
      </c>
      <c r="J14" s="7">
        <f>2440-7</f>
        <v>2433</v>
      </c>
      <c r="K14" s="7">
        <v>2360</v>
      </c>
      <c r="L14" s="51">
        <v>2360</v>
      </c>
      <c r="M14" s="7">
        <v>2377</v>
      </c>
      <c r="N14" s="7">
        <v>2435</v>
      </c>
      <c r="O14" s="7">
        <v>2535</v>
      </c>
      <c r="P14" s="7">
        <v>2471</v>
      </c>
      <c r="Q14" s="51">
        <v>2471</v>
      </c>
    </row>
    <row r="15" spans="2:17" x14ac:dyDescent="0.25">
      <c r="B15" s="12" t="s">
        <v>166</v>
      </c>
      <c r="C15" s="13"/>
      <c r="D15" s="13"/>
      <c r="E15" s="13"/>
      <c r="F15" s="13"/>
      <c r="G15" s="53"/>
      <c r="H15" s="13"/>
      <c r="I15" s="13"/>
      <c r="J15" s="13"/>
      <c r="K15" s="13"/>
      <c r="L15" s="53"/>
      <c r="M15" s="13"/>
      <c r="N15" s="13"/>
      <c r="O15" s="13"/>
      <c r="P15" s="13"/>
      <c r="Q15" s="53"/>
    </row>
    <row r="16" spans="2:17" x14ac:dyDescent="0.25">
      <c r="B16" s="2" t="s">
        <v>162</v>
      </c>
      <c r="C16" s="20">
        <f>0-9</f>
        <v>-9</v>
      </c>
      <c r="D16" s="20">
        <f>0-14</f>
        <v>-14</v>
      </c>
      <c r="E16" s="20">
        <f>0-5</f>
        <v>-5</v>
      </c>
      <c r="F16" s="20">
        <v>-31</v>
      </c>
      <c r="G16" s="54">
        <v>-31</v>
      </c>
      <c r="H16" s="20">
        <f>-9-3-4</f>
        <v>-16</v>
      </c>
      <c r="I16" s="20">
        <f>-4-12+1</f>
        <v>-15</v>
      </c>
      <c r="J16" s="7">
        <v>12</v>
      </c>
      <c r="K16" s="20">
        <v>-151</v>
      </c>
      <c r="L16" s="54">
        <v>-151</v>
      </c>
      <c r="M16" s="20">
        <v>-149</v>
      </c>
      <c r="N16" s="20">
        <v>-141</v>
      </c>
      <c r="O16" s="20">
        <v>-151</v>
      </c>
      <c r="P16" s="7">
        <v>0</v>
      </c>
      <c r="Q16" s="51">
        <v>0</v>
      </c>
    </row>
    <row r="17" spans="2:17" x14ac:dyDescent="0.25">
      <c r="B17" s="2" t="s">
        <v>163</v>
      </c>
      <c r="C17" s="7">
        <f>9+29</f>
        <v>38</v>
      </c>
      <c r="D17" s="7">
        <f>9+53</f>
        <v>62</v>
      </c>
      <c r="E17" s="7">
        <f>9+22+63</f>
        <v>94</v>
      </c>
      <c r="F17" s="7">
        <v>140</v>
      </c>
      <c r="G17" s="51">
        <v>140</v>
      </c>
      <c r="H17" s="7">
        <f>55+10+27</f>
        <v>92</v>
      </c>
      <c r="I17" s="7">
        <f>-17+50+3</f>
        <v>36</v>
      </c>
      <c r="J17" s="7">
        <f>-12+64</f>
        <v>52</v>
      </c>
      <c r="K17" s="7">
        <v>96</v>
      </c>
      <c r="L17" s="51">
        <v>96</v>
      </c>
      <c r="M17" s="7">
        <v>94</v>
      </c>
      <c r="N17" s="7">
        <v>45</v>
      </c>
      <c r="O17" s="7">
        <v>32</v>
      </c>
      <c r="P17" s="7">
        <v>2</v>
      </c>
      <c r="Q17" s="51">
        <v>2</v>
      </c>
    </row>
    <row r="18" spans="2:17" x14ac:dyDescent="0.25">
      <c r="B18" s="2" t="s">
        <v>164</v>
      </c>
      <c r="C18" s="7">
        <f>-2+5</f>
        <v>3</v>
      </c>
      <c r="D18" s="7">
        <f>-2+10</f>
        <v>8</v>
      </c>
      <c r="E18" s="7">
        <f>-2+17</f>
        <v>15</v>
      </c>
      <c r="F18" s="7">
        <v>2</v>
      </c>
      <c r="G18" s="51">
        <v>2</v>
      </c>
      <c r="H18" s="20">
        <f>-2-45-6</f>
        <v>-53</v>
      </c>
      <c r="I18" s="20">
        <f>5-66-11</f>
        <v>-72</v>
      </c>
      <c r="J18" s="20">
        <f>-5-84</f>
        <v>-89</v>
      </c>
      <c r="K18" s="7">
        <v>126</v>
      </c>
      <c r="L18" s="51">
        <v>126</v>
      </c>
      <c r="M18" s="7">
        <v>119</v>
      </c>
      <c r="N18" s="7">
        <v>141</v>
      </c>
      <c r="O18" s="7">
        <v>159</v>
      </c>
      <c r="P18" s="20">
        <v>-99</v>
      </c>
      <c r="Q18" s="54">
        <v>-99</v>
      </c>
    </row>
    <row r="19" spans="2:17" x14ac:dyDescent="0.25">
      <c r="B19" s="2" t="s">
        <v>165</v>
      </c>
      <c r="C19" s="7">
        <f>1+29</f>
        <v>30</v>
      </c>
      <c r="D19" s="7">
        <f>1+58</f>
        <v>59</v>
      </c>
      <c r="E19" s="7">
        <f>0+142</f>
        <v>142</v>
      </c>
      <c r="F19" s="7">
        <v>185</v>
      </c>
      <c r="G19" s="51">
        <v>185</v>
      </c>
      <c r="H19" s="7">
        <f>95+14+32</f>
        <v>141</v>
      </c>
      <c r="I19" s="7">
        <f>-3+18+3</f>
        <v>18</v>
      </c>
      <c r="J19" s="20">
        <f>-70+7</f>
        <v>-63</v>
      </c>
      <c r="K19" s="7">
        <v>35</v>
      </c>
      <c r="L19" s="51">
        <v>35</v>
      </c>
      <c r="M19" s="7">
        <v>21</v>
      </c>
      <c r="N19" s="7">
        <v>23</v>
      </c>
      <c r="O19" s="7">
        <v>43</v>
      </c>
      <c r="P19" s="7">
        <v>39</v>
      </c>
      <c r="Q19" s="51">
        <v>39</v>
      </c>
    </row>
    <row r="20" spans="2:17" x14ac:dyDescent="0.25">
      <c r="B20" s="12" t="s">
        <v>180</v>
      </c>
      <c r="C20" s="14">
        <f t="shared" ref="C20:Q20" si="0">SUM(C8:C19)</f>
        <v>5573</v>
      </c>
      <c r="D20" s="14">
        <f t="shared" si="0"/>
        <v>5129</v>
      </c>
      <c r="E20" s="14">
        <f t="shared" si="0"/>
        <v>4919</v>
      </c>
      <c r="F20" s="14">
        <f t="shared" si="0"/>
        <v>2222</v>
      </c>
      <c r="G20" s="64">
        <f t="shared" si="0"/>
        <v>2222</v>
      </c>
      <c r="H20" s="14">
        <f t="shared" si="0"/>
        <v>1534</v>
      </c>
      <c r="I20" s="14">
        <f t="shared" si="0"/>
        <v>1276</v>
      </c>
      <c r="J20" s="14">
        <f t="shared" si="0"/>
        <v>1021</v>
      </c>
      <c r="K20" s="14">
        <f t="shared" si="0"/>
        <v>4718</v>
      </c>
      <c r="L20" s="64">
        <f t="shared" si="0"/>
        <v>4718</v>
      </c>
      <c r="M20" s="14">
        <f t="shared" si="0"/>
        <v>5228</v>
      </c>
      <c r="N20" s="14">
        <f t="shared" si="0"/>
        <v>5734</v>
      </c>
      <c r="O20" s="14">
        <f t="shared" si="0"/>
        <v>6110</v>
      </c>
      <c r="P20" s="14">
        <f t="shared" si="0"/>
        <v>5849</v>
      </c>
      <c r="Q20" s="64">
        <f t="shared" si="0"/>
        <v>5849</v>
      </c>
    </row>
    <row r="21" spans="2:17" x14ac:dyDescent="0.25">
      <c r="B21" s="39" t="s">
        <v>167</v>
      </c>
      <c r="C21" s="11"/>
      <c r="D21" s="11"/>
      <c r="E21" s="11"/>
      <c r="F21" s="11"/>
      <c r="G21" s="58"/>
      <c r="H21" s="11"/>
      <c r="I21" s="11"/>
      <c r="J21" s="11"/>
      <c r="K21" s="11"/>
      <c r="L21" s="58"/>
      <c r="M21" s="11"/>
      <c r="N21" s="11"/>
      <c r="O21" s="11"/>
      <c r="P21" s="11"/>
      <c r="Q21" s="58"/>
    </row>
    <row r="22" spans="2:17" x14ac:dyDescent="0.25">
      <c r="B22" s="41" t="s">
        <v>118</v>
      </c>
      <c r="C22" s="9">
        <v>707</v>
      </c>
      <c r="D22" s="9">
        <v>783</v>
      </c>
      <c r="E22" s="9">
        <v>784</v>
      </c>
      <c r="F22" s="9">
        <v>188</v>
      </c>
      <c r="G22" s="60">
        <v>188</v>
      </c>
      <c r="H22" s="9">
        <v>207</v>
      </c>
      <c r="I22" s="9">
        <v>230</v>
      </c>
      <c r="J22" s="9">
        <v>237</v>
      </c>
      <c r="K22" s="9">
        <v>489</v>
      </c>
      <c r="L22" s="60">
        <v>489</v>
      </c>
      <c r="M22" s="9">
        <v>487</v>
      </c>
      <c r="N22" s="9">
        <v>403</v>
      </c>
      <c r="O22" s="9">
        <v>377</v>
      </c>
      <c r="P22" s="9">
        <v>942</v>
      </c>
      <c r="Q22" s="60">
        <v>942</v>
      </c>
    </row>
    <row r="23" spans="2:17" x14ac:dyDescent="0.25">
      <c r="B23" s="39" t="s">
        <v>170</v>
      </c>
      <c r="C23" s="9"/>
      <c r="D23" s="9"/>
      <c r="E23" s="9"/>
      <c r="F23" s="9"/>
      <c r="G23" s="60"/>
      <c r="H23" s="9"/>
      <c r="I23" s="9"/>
      <c r="J23" s="9"/>
      <c r="K23" s="9"/>
      <c r="L23" s="60"/>
      <c r="M23" s="9"/>
      <c r="N23" s="9"/>
      <c r="O23" s="9"/>
      <c r="P23" s="9"/>
      <c r="Q23" s="60"/>
    </row>
    <row r="24" spans="2:17" x14ac:dyDescent="0.25">
      <c r="B24" s="41" t="s">
        <v>168</v>
      </c>
      <c r="C24" s="9">
        <f>3+53-717+688</f>
        <v>27</v>
      </c>
      <c r="D24" s="20">
        <f>-2+47-58</f>
        <v>-13</v>
      </c>
      <c r="E24" s="20">
        <f>-4+78+28-142</f>
        <v>-40</v>
      </c>
      <c r="F24" s="9">
        <v>4</v>
      </c>
      <c r="G24" s="60">
        <v>4</v>
      </c>
      <c r="H24" s="9">
        <f>50-2+130-14-95</f>
        <v>69</v>
      </c>
      <c r="I24" s="9">
        <f>225+279-18-60</f>
        <v>426</v>
      </c>
      <c r="J24" s="9">
        <f>221+178+253-7</f>
        <v>645</v>
      </c>
      <c r="K24" s="9">
        <v>306</v>
      </c>
      <c r="L24" s="60">
        <v>306</v>
      </c>
      <c r="M24" s="9">
        <v>187</v>
      </c>
      <c r="N24" s="9">
        <v>8</v>
      </c>
      <c r="O24" s="9">
        <v>25</v>
      </c>
      <c r="P24" s="9">
        <v>65</v>
      </c>
      <c r="Q24" s="60">
        <v>65</v>
      </c>
    </row>
    <row r="25" spans="2:17" x14ac:dyDescent="0.25">
      <c r="B25" s="41" t="s">
        <v>171</v>
      </c>
      <c r="C25" s="9">
        <v>0</v>
      </c>
      <c r="D25" s="9">
        <v>0</v>
      </c>
      <c r="E25" s="9">
        <v>0</v>
      </c>
      <c r="F25" s="9">
        <v>0</v>
      </c>
      <c r="G25" s="60">
        <v>0</v>
      </c>
      <c r="H25" s="9">
        <v>0</v>
      </c>
      <c r="I25" s="9">
        <v>0</v>
      </c>
      <c r="J25" s="9">
        <v>0</v>
      </c>
      <c r="K25" s="20">
        <v>-267</v>
      </c>
      <c r="L25" s="54">
        <v>-267</v>
      </c>
      <c r="M25" s="20">
        <v>-110</v>
      </c>
      <c r="N25" s="20">
        <v>-56</v>
      </c>
      <c r="O25" s="20">
        <v>-204</v>
      </c>
      <c r="P25" s="9">
        <v>211</v>
      </c>
      <c r="Q25" s="60">
        <v>211</v>
      </c>
    </row>
    <row r="26" spans="2:17" s="42" customFormat="1" x14ac:dyDescent="0.25">
      <c r="B26" s="28" t="s">
        <v>172</v>
      </c>
      <c r="C26" s="20">
        <v>-540</v>
      </c>
      <c r="D26" s="20">
        <v>-550</v>
      </c>
      <c r="E26" s="20">
        <v>-550</v>
      </c>
      <c r="F26" s="20">
        <v>-312</v>
      </c>
      <c r="G26" s="54">
        <v>-312</v>
      </c>
      <c r="H26" s="20">
        <v>-10</v>
      </c>
      <c r="I26" s="9">
        <v>249</v>
      </c>
      <c r="J26" s="9">
        <v>392</v>
      </c>
      <c r="K26" s="20">
        <v>-625</v>
      </c>
      <c r="L26" s="54">
        <v>-625</v>
      </c>
      <c r="M26" s="20">
        <v>-625</v>
      </c>
      <c r="N26" s="20">
        <v>-617</v>
      </c>
      <c r="O26" s="20">
        <v>-617</v>
      </c>
      <c r="P26" s="20">
        <v>-130</v>
      </c>
      <c r="Q26" s="54">
        <v>-130</v>
      </c>
    </row>
    <row r="27" spans="2:17" s="42" customFormat="1" ht="29.25" x14ac:dyDescent="0.25">
      <c r="B27" s="45" t="s">
        <v>181</v>
      </c>
      <c r="C27" s="9">
        <v>648</v>
      </c>
      <c r="D27" s="9">
        <v>679</v>
      </c>
      <c r="E27" s="9">
        <v>587</v>
      </c>
      <c r="F27" s="9">
        <v>1121</v>
      </c>
      <c r="G27" s="60">
        <v>1121</v>
      </c>
      <c r="H27" s="9">
        <f>1129-130</f>
        <v>999</v>
      </c>
      <c r="I27" s="9">
        <f>1113-309</f>
        <v>804</v>
      </c>
      <c r="J27" s="9">
        <f>1105-71-385</f>
        <v>649</v>
      </c>
      <c r="K27" s="20">
        <v>-10</v>
      </c>
      <c r="L27" s="54">
        <v>-10</v>
      </c>
      <c r="M27" s="20">
        <v>-16</v>
      </c>
      <c r="N27" s="9">
        <v>16</v>
      </c>
      <c r="O27" s="9">
        <v>25</v>
      </c>
      <c r="P27" s="20">
        <v>-24</v>
      </c>
      <c r="Q27" s="54">
        <v>-24</v>
      </c>
    </row>
    <row r="28" spans="2:17" s="42" customFormat="1" x14ac:dyDescent="0.25">
      <c r="B28" s="28" t="s">
        <v>173</v>
      </c>
      <c r="C28" s="20">
        <v>-3</v>
      </c>
      <c r="D28" s="9">
        <v>40</v>
      </c>
      <c r="E28" s="9">
        <v>40</v>
      </c>
      <c r="F28" s="9">
        <v>1031</v>
      </c>
      <c r="G28" s="60">
        <v>1031</v>
      </c>
      <c r="H28" s="9">
        <v>1161</v>
      </c>
      <c r="I28" s="9">
        <v>988</v>
      </c>
      <c r="J28" s="9">
        <v>988</v>
      </c>
      <c r="K28" s="20">
        <v>-71</v>
      </c>
      <c r="L28" s="54">
        <v>-71</v>
      </c>
      <c r="M28" s="20">
        <v>-71</v>
      </c>
      <c r="N28" s="20">
        <v>-71</v>
      </c>
      <c r="O28" s="20">
        <v>-71</v>
      </c>
      <c r="P28" s="9">
        <v>0</v>
      </c>
      <c r="Q28" s="60">
        <v>0</v>
      </c>
    </row>
    <row r="29" spans="2:17" s="42" customFormat="1" x14ac:dyDescent="0.25">
      <c r="B29" s="28" t="s">
        <v>174</v>
      </c>
      <c r="C29" s="9">
        <v>43</v>
      </c>
      <c r="D29" s="9">
        <v>40</v>
      </c>
      <c r="E29" s="9">
        <v>38</v>
      </c>
      <c r="F29" s="20">
        <v>-2</v>
      </c>
      <c r="G29" s="54">
        <v>-2</v>
      </c>
      <c r="H29" s="9">
        <v>8</v>
      </c>
      <c r="I29" s="9">
        <v>16</v>
      </c>
      <c r="J29" s="9">
        <v>13</v>
      </c>
      <c r="K29" s="9">
        <v>8</v>
      </c>
      <c r="L29" s="60">
        <v>8</v>
      </c>
      <c r="M29" s="9">
        <v>3</v>
      </c>
      <c r="N29" s="9">
        <v>1</v>
      </c>
      <c r="O29" s="9">
        <v>5</v>
      </c>
      <c r="P29" s="9">
        <v>0</v>
      </c>
      <c r="Q29" s="60">
        <v>0</v>
      </c>
    </row>
    <row r="30" spans="2:17" s="42" customFormat="1" x14ac:dyDescent="0.25">
      <c r="B30" s="28" t="s">
        <v>175</v>
      </c>
      <c r="C30" s="9">
        <v>0</v>
      </c>
      <c r="D30" s="9">
        <v>0</v>
      </c>
      <c r="E30" s="9">
        <v>0</v>
      </c>
      <c r="F30" s="9">
        <v>0</v>
      </c>
      <c r="G30" s="60">
        <v>0</v>
      </c>
      <c r="H30" s="9">
        <v>0</v>
      </c>
      <c r="I30" s="9">
        <v>0</v>
      </c>
      <c r="J30" s="9">
        <v>99</v>
      </c>
      <c r="K30" s="9">
        <v>99</v>
      </c>
      <c r="L30" s="60">
        <v>99</v>
      </c>
      <c r="M30" s="9">
        <v>99</v>
      </c>
      <c r="N30" s="9">
        <v>99</v>
      </c>
      <c r="O30" s="9">
        <v>0</v>
      </c>
      <c r="P30" s="9">
        <v>0</v>
      </c>
      <c r="Q30" s="60">
        <v>0</v>
      </c>
    </row>
    <row r="31" spans="2:17" s="42" customFormat="1" x14ac:dyDescent="0.25">
      <c r="B31" s="28" t="s">
        <v>176</v>
      </c>
      <c r="C31" s="9">
        <v>0</v>
      </c>
      <c r="D31" s="9">
        <v>0</v>
      </c>
      <c r="E31" s="9">
        <v>0</v>
      </c>
      <c r="F31" s="9">
        <v>0</v>
      </c>
      <c r="G31" s="60">
        <v>0</v>
      </c>
      <c r="H31" s="9">
        <v>0</v>
      </c>
      <c r="I31" s="9">
        <v>0</v>
      </c>
      <c r="J31" s="9">
        <v>0</v>
      </c>
      <c r="K31" s="9">
        <v>0</v>
      </c>
      <c r="L31" s="60">
        <v>0</v>
      </c>
      <c r="M31" s="9">
        <v>0</v>
      </c>
      <c r="N31" s="20">
        <v>-147</v>
      </c>
      <c r="O31" s="20">
        <v>-147</v>
      </c>
      <c r="P31" s="20">
        <v>-302</v>
      </c>
      <c r="Q31" s="54">
        <v>-302</v>
      </c>
    </row>
    <row r="32" spans="2:17" s="42" customFormat="1" x14ac:dyDescent="0.25">
      <c r="B32" s="28" t="s">
        <v>177</v>
      </c>
      <c r="C32" s="9">
        <v>4</v>
      </c>
      <c r="D32" s="9">
        <v>3</v>
      </c>
      <c r="E32" s="20">
        <v>-2</v>
      </c>
      <c r="F32" s="9">
        <v>1</v>
      </c>
      <c r="G32" s="60">
        <v>1</v>
      </c>
      <c r="H32" s="9">
        <v>1</v>
      </c>
      <c r="I32" s="9">
        <v>48</v>
      </c>
      <c r="J32" s="9">
        <v>48</v>
      </c>
      <c r="K32" s="9">
        <v>113</v>
      </c>
      <c r="L32" s="60">
        <v>113</v>
      </c>
      <c r="M32" s="9">
        <v>108</v>
      </c>
      <c r="N32" s="9">
        <v>143</v>
      </c>
      <c r="O32" s="9">
        <v>402</v>
      </c>
      <c r="P32" s="9">
        <v>322</v>
      </c>
      <c r="Q32" s="60">
        <v>322</v>
      </c>
    </row>
    <row r="33" spans="1:17" s="42" customFormat="1" x14ac:dyDescent="0.25">
      <c r="B33" s="28"/>
      <c r="C33" s="9"/>
      <c r="D33" s="9"/>
      <c r="E33" s="9"/>
      <c r="F33" s="9"/>
      <c r="G33" s="60"/>
      <c r="H33" s="9"/>
      <c r="I33" s="9"/>
      <c r="J33" s="9"/>
      <c r="K33" s="9"/>
      <c r="L33" s="60"/>
      <c r="M33" s="9"/>
      <c r="N33" s="9"/>
      <c r="O33" s="9"/>
      <c r="P33" s="9"/>
      <c r="Q33" s="60"/>
    </row>
    <row r="34" spans="1:17" ht="15.75" thickBot="1" x14ac:dyDescent="0.3">
      <c r="B34" s="1" t="s">
        <v>178</v>
      </c>
      <c r="C34" s="15">
        <f t="shared" ref="C34:Q34" si="1">SUM(C20:C32)</f>
        <v>6459</v>
      </c>
      <c r="D34" s="15">
        <f t="shared" si="1"/>
        <v>6111</v>
      </c>
      <c r="E34" s="15">
        <f t="shared" si="1"/>
        <v>5776</v>
      </c>
      <c r="F34" s="15">
        <f t="shared" si="1"/>
        <v>4253</v>
      </c>
      <c r="G34" s="65">
        <f t="shared" si="1"/>
        <v>4253</v>
      </c>
      <c r="H34" s="15">
        <f t="shared" si="1"/>
        <v>3969</v>
      </c>
      <c r="I34" s="15">
        <f t="shared" si="1"/>
        <v>4037</v>
      </c>
      <c r="J34" s="15">
        <f t="shared" si="1"/>
        <v>4092</v>
      </c>
      <c r="K34" s="15">
        <f t="shared" si="1"/>
        <v>4760</v>
      </c>
      <c r="L34" s="65">
        <f t="shared" si="1"/>
        <v>4760</v>
      </c>
      <c r="M34" s="15">
        <f t="shared" si="1"/>
        <v>5290</v>
      </c>
      <c r="N34" s="15">
        <f t="shared" si="1"/>
        <v>5513</v>
      </c>
      <c r="O34" s="15">
        <f t="shared" si="1"/>
        <v>5905</v>
      </c>
      <c r="P34" s="15">
        <f t="shared" si="1"/>
        <v>6933</v>
      </c>
      <c r="Q34" s="65">
        <f t="shared" si="1"/>
        <v>6933</v>
      </c>
    </row>
    <row r="35" spans="1:17" ht="15.75" thickTop="1" x14ac:dyDescent="0.25">
      <c r="C35" s="7"/>
      <c r="D35" s="7"/>
      <c r="E35" s="7"/>
      <c r="F35" s="7"/>
      <c r="G35" s="51"/>
      <c r="H35" s="7"/>
      <c r="I35" s="7"/>
      <c r="J35" s="7"/>
      <c r="K35" s="7"/>
      <c r="L35" s="51"/>
      <c r="M35" s="7"/>
      <c r="N35" s="7"/>
      <c r="O35" s="7"/>
      <c r="P35" s="7"/>
      <c r="Q35" s="51"/>
    </row>
    <row r="36" spans="1:17" ht="15.75" thickBot="1" x14ac:dyDescent="0.3">
      <c r="C36" s="15">
        <v>6435</v>
      </c>
      <c r="D36" s="15">
        <v>6122</v>
      </c>
      <c r="E36" s="15">
        <v>5811</v>
      </c>
      <c r="F36" s="15">
        <v>4285</v>
      </c>
      <c r="G36" s="65">
        <v>4285</v>
      </c>
      <c r="H36" s="15">
        <v>4041</v>
      </c>
      <c r="I36" s="15">
        <v>4106</v>
      </c>
      <c r="J36" s="15">
        <v>4124</v>
      </c>
      <c r="K36" s="15">
        <v>4760</v>
      </c>
      <c r="L36" s="65">
        <v>4760</v>
      </c>
      <c r="M36" s="15">
        <v>5290</v>
      </c>
      <c r="N36" s="15">
        <v>4106</v>
      </c>
      <c r="O36" s="15">
        <v>4124</v>
      </c>
      <c r="P36" s="15">
        <v>6933</v>
      </c>
      <c r="Q36" s="65">
        <v>6933</v>
      </c>
    </row>
    <row r="37" spans="1:17" ht="15.75" thickTop="1" x14ac:dyDescent="0.25">
      <c r="A37" s="36"/>
      <c r="B37" s="37"/>
      <c r="C37" s="3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x14ac:dyDescent="0.25">
      <c r="C42" s="43"/>
      <c r="D42" s="43"/>
      <c r="E42" s="43"/>
      <c r="F42" s="43"/>
      <c r="G42" s="43"/>
      <c r="H42" s="43"/>
      <c r="I42" s="43"/>
      <c r="J42" s="43"/>
    </row>
    <row r="43" spans="1:17" x14ac:dyDescent="0.25">
      <c r="D43" s="43"/>
      <c r="E43" s="43"/>
      <c r="F43" s="43"/>
      <c r="I43" s="43"/>
      <c r="J43" s="43"/>
    </row>
    <row r="44" spans="1:17" x14ac:dyDescent="0.25">
      <c r="D44" s="43"/>
      <c r="E44" s="43"/>
      <c r="F44" s="43"/>
      <c r="I44" s="43"/>
      <c r="J44" s="43"/>
    </row>
    <row r="45" spans="1:17" x14ac:dyDescent="0.25">
      <c r="D45" s="43"/>
      <c r="E45" s="43"/>
      <c r="F45" s="43"/>
      <c r="I45" s="43"/>
      <c r="J45" s="43"/>
    </row>
    <row r="49" spans="7:8" x14ac:dyDescent="0.25">
      <c r="G49" s="43"/>
      <c r="H49" s="43"/>
    </row>
  </sheetData>
  <mergeCells count="3">
    <mergeCell ref="C4:G5"/>
    <mergeCell ref="H4:L5"/>
    <mergeCell ref="M4:Q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FBE2F14266B429FC4E3415B1E7D0B" ma:contentTypeVersion="13" ma:contentTypeDescription="Crie um novo documento." ma:contentTypeScope="" ma:versionID="7376deb878100c7ddacdaff694e8d926">
  <xsd:schema xmlns:xsd="http://www.w3.org/2001/XMLSchema" xmlns:xs="http://www.w3.org/2001/XMLSchema" xmlns:p="http://schemas.microsoft.com/office/2006/metadata/properties" xmlns:ns2="fbf45429-705a-4c2b-a167-8ee3e9d3d369" xmlns:ns3="1ab80ee4-f6d9-4378-9bbc-3533b4648881" targetNamespace="http://schemas.microsoft.com/office/2006/metadata/properties" ma:root="true" ma:fieldsID="3d4bdae9eb37988c5d9d42d88eb2d808" ns2:_="" ns3:_="">
    <xsd:import namespace="fbf45429-705a-4c2b-a167-8ee3e9d3d369"/>
    <xsd:import namespace="1ab80ee4-f6d9-4378-9bbc-3533b4648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5429-705a-4c2b-a167-8ee3e9d3d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80ee4-f6d9-4378-9bbc-3533b4648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A91ADC-A4EF-4F3F-BF37-4E5A977E0E5B}"/>
</file>

<file path=customXml/itemProps2.xml><?xml version="1.0" encoding="utf-8"?>
<ds:datastoreItem xmlns:ds="http://schemas.openxmlformats.org/officeDocument/2006/customXml" ds:itemID="{B682A54B-16AD-47FB-A22D-472BA06E1685}"/>
</file>

<file path=customXml/itemProps3.xml><?xml version="1.0" encoding="utf-8"?>
<ds:datastoreItem xmlns:ds="http://schemas.openxmlformats.org/officeDocument/2006/customXml" ds:itemID="{13BFC725-B67C-43C1-87BD-65AE64AB41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Cover</vt:lpstr>
      <vt:lpstr>Balance Sheet</vt:lpstr>
      <vt:lpstr>Income Statement</vt:lpstr>
      <vt:lpstr>Cash Flow Statement</vt:lpstr>
      <vt:lpstr>Adjusted EBITDA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Grupo Votorantim</cp:lastModifiedBy>
  <dcterms:created xsi:type="dcterms:W3CDTF">2019-03-14T19:14:16Z</dcterms:created>
  <dcterms:modified xsi:type="dcterms:W3CDTF">2019-04-01T21:19:05Z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0x010100FC2FBE2F14266B429FC4E3415B1E7D0B</vt:lpwstr>
  </property>
  <property fmtid="{D5CDD505-2E9C-101B-9397-08002B2CF9AE}" pid="3" name="Order">
    <vt:r8>1861600</vt:r8>
  </property>
</Properties>
</file>