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ONSOLIDACOES\13. Informações Financeiras\02.Bases\05.Planilha Interativa\2019\3. 4Q19\"/>
    </mc:Choice>
  </mc:AlternateContent>
  <bookViews>
    <workbookView xWindow="-120" yWindow="-120" windowWidth="20730" windowHeight="11310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4" i="11" l="1"/>
  <c r="U20" i="11"/>
  <c r="V20" i="11"/>
  <c r="V34" i="11" s="1"/>
  <c r="V69" i="8"/>
  <c r="U68" i="8"/>
  <c r="T69" i="8"/>
  <c r="S69" i="8"/>
  <c r="R69" i="8"/>
  <c r="P68" i="8"/>
  <c r="K68" i="8"/>
  <c r="I67" i="8"/>
  <c r="J67" i="8" s="1"/>
  <c r="F68" i="8"/>
  <c r="G69" i="8"/>
  <c r="C69" i="8"/>
  <c r="U43" i="5"/>
  <c r="U42" i="5"/>
  <c r="U44" i="5" s="1"/>
  <c r="U39" i="5"/>
  <c r="U34" i="5"/>
  <c r="U33" i="5"/>
  <c r="U28" i="5"/>
  <c r="U27" i="5"/>
  <c r="U26" i="5"/>
  <c r="U25" i="5"/>
  <c r="U22" i="5"/>
  <c r="U21" i="5"/>
  <c r="U20" i="5"/>
  <c r="U15" i="5"/>
  <c r="U14" i="5"/>
  <c r="U13" i="5"/>
  <c r="U9" i="5"/>
  <c r="U8" i="5"/>
  <c r="U10" i="5" l="1"/>
  <c r="U17" i="5" s="1"/>
  <c r="U23" i="5"/>
  <c r="U29" i="5"/>
  <c r="U35" i="5"/>
  <c r="K67" i="8"/>
  <c r="U16" i="5"/>
  <c r="U86" i="8"/>
  <c r="U85" i="8"/>
  <c r="U84" i="8"/>
  <c r="U83" i="8"/>
  <c r="U82" i="8"/>
  <c r="U77" i="8"/>
  <c r="U76" i="8"/>
  <c r="U75" i="8"/>
  <c r="U74" i="8"/>
  <c r="U73" i="8"/>
  <c r="U72" i="8"/>
  <c r="U67" i="8"/>
  <c r="U66" i="8"/>
  <c r="U65" i="8"/>
  <c r="U64" i="8"/>
  <c r="U63" i="8"/>
  <c r="U62" i="8"/>
  <c r="U61" i="8"/>
  <c r="U60" i="8"/>
  <c r="U59" i="8"/>
  <c r="U55" i="8"/>
  <c r="U54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1" i="8"/>
  <c r="U9" i="8"/>
  <c r="V78" i="8"/>
  <c r="U78" i="8" s="1"/>
  <c r="U69" i="8"/>
  <c r="V37" i="8"/>
  <c r="V16" i="5"/>
  <c r="V44" i="5"/>
  <c r="V35" i="5"/>
  <c r="V29" i="5"/>
  <c r="V23" i="5"/>
  <c r="V10" i="5"/>
  <c r="V17" i="5" s="1"/>
  <c r="R85" i="2"/>
  <c r="R89" i="2" s="1"/>
  <c r="R77" i="2"/>
  <c r="R61" i="2"/>
  <c r="R63" i="2" s="1"/>
  <c r="R34" i="2"/>
  <c r="R41" i="2" s="1"/>
  <c r="R18" i="2"/>
  <c r="R20" i="2" s="1"/>
  <c r="U30" i="5" l="1"/>
  <c r="U36" i="5" s="1"/>
  <c r="U40" i="5" s="1"/>
  <c r="V52" i="8"/>
  <c r="U37" i="8"/>
  <c r="U52" i="8" s="1"/>
  <c r="V30" i="5"/>
  <c r="V36" i="5" s="1"/>
  <c r="V40" i="5" s="1"/>
  <c r="R78" i="2"/>
  <c r="R91" i="2" s="1"/>
  <c r="R43" i="2"/>
  <c r="O28" i="8"/>
  <c r="V56" i="8" l="1"/>
  <c r="N84" i="8"/>
  <c r="O84" i="8" s="1"/>
  <c r="O19" i="8"/>
  <c r="V80" i="8" l="1"/>
  <c r="O22" i="8"/>
  <c r="S14" i="5"/>
  <c r="S13" i="5"/>
  <c r="S9" i="5"/>
  <c r="V87" i="8" l="1"/>
  <c r="T20" i="11"/>
  <c r="T34" i="11" s="1"/>
  <c r="O15" i="8"/>
  <c r="O11" i="8"/>
  <c r="O9" i="8"/>
  <c r="T78" i="8" l="1"/>
  <c r="T37" i="8"/>
  <c r="T52" i="8" s="1"/>
  <c r="T56" i="8" s="1"/>
  <c r="T80" i="8" l="1"/>
  <c r="T87" i="8" s="1"/>
  <c r="T44" i="5"/>
  <c r="T35" i="5"/>
  <c r="T29" i="5"/>
  <c r="T23" i="5"/>
  <c r="T16" i="5"/>
  <c r="T10" i="5"/>
  <c r="T17" i="5" l="1"/>
  <c r="T30" i="5" s="1"/>
  <c r="T36" i="5" s="1"/>
  <c r="T40" i="5" s="1"/>
  <c r="Q85" i="2" l="1"/>
  <c r="Q89" i="2" s="1"/>
  <c r="Q77" i="2"/>
  <c r="Q61" i="2"/>
  <c r="Q63" i="2" s="1"/>
  <c r="Q78" i="2" s="1"/>
  <c r="Q34" i="2"/>
  <c r="Q41" i="2" s="1"/>
  <c r="Q18" i="2"/>
  <c r="Q20" i="2" s="1"/>
  <c r="Q91" i="2" l="1"/>
  <c r="Q43" i="2"/>
  <c r="S20" i="11" l="1"/>
  <c r="S34" i="11" s="1"/>
  <c r="S78" i="8" l="1"/>
  <c r="S37" i="8"/>
  <c r="S52" i="8" s="1"/>
  <c r="S56" i="8" s="1"/>
  <c r="S44" i="5"/>
  <c r="S35" i="5"/>
  <c r="S29" i="5"/>
  <c r="S23" i="5"/>
  <c r="S16" i="5"/>
  <c r="S10" i="5"/>
  <c r="P85" i="2"/>
  <c r="P89" i="2" s="1"/>
  <c r="P77" i="2"/>
  <c r="P61" i="2"/>
  <c r="P63" i="2" s="1"/>
  <c r="P34" i="2"/>
  <c r="P41" i="2" s="1"/>
  <c r="P18" i="2"/>
  <c r="P20" i="2" s="1"/>
  <c r="S80" i="8" l="1"/>
  <c r="S87" i="8" s="1"/>
  <c r="S17" i="5"/>
  <c r="S30" i="5" s="1"/>
  <c r="S36" i="5" s="1"/>
  <c r="S40" i="5" s="1"/>
  <c r="P78" i="2"/>
  <c r="P91" i="2" s="1"/>
  <c r="P43" i="2"/>
  <c r="R20" i="11" l="1"/>
  <c r="J27" i="11" l="1"/>
  <c r="I27" i="11"/>
  <c r="H27" i="11"/>
  <c r="J24" i="11"/>
  <c r="I24" i="11"/>
  <c r="H24" i="11"/>
  <c r="E24" i="11"/>
  <c r="D24" i="11"/>
  <c r="C24" i="11"/>
  <c r="R34" i="11"/>
  <c r="Q20" i="11"/>
  <c r="Q34" i="11" s="1"/>
  <c r="O20" i="11"/>
  <c r="O34" i="11" s="1"/>
  <c r="N20" i="11"/>
  <c r="N34" i="11" s="1"/>
  <c r="L20" i="11"/>
  <c r="L34" i="11" s="1"/>
  <c r="K20" i="11"/>
  <c r="K34" i="11" s="1"/>
  <c r="G20" i="11"/>
  <c r="G34" i="11" s="1"/>
  <c r="F20" i="11"/>
  <c r="F34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4" i="11" s="1"/>
  <c r="J12" i="11"/>
  <c r="I12" i="11"/>
  <c r="H12" i="11"/>
  <c r="E12" i="11"/>
  <c r="D12" i="11"/>
  <c r="C12" i="11"/>
  <c r="I11" i="11"/>
  <c r="I20" i="11" s="1"/>
  <c r="I34" i="11" s="1"/>
  <c r="H11" i="11"/>
  <c r="E11" i="11"/>
  <c r="D11" i="11"/>
  <c r="C11" i="11"/>
  <c r="N85" i="8"/>
  <c r="I85" i="8"/>
  <c r="D85" i="8"/>
  <c r="Q84" i="8"/>
  <c r="P83" i="8"/>
  <c r="K83" i="8"/>
  <c r="P82" i="8"/>
  <c r="K82" i="8"/>
  <c r="D82" i="8"/>
  <c r="E82" i="8" s="1"/>
  <c r="F82" i="8" s="1"/>
  <c r="R78" i="8"/>
  <c r="M78" i="8"/>
  <c r="L78" i="8"/>
  <c r="H78" i="8"/>
  <c r="G78" i="8"/>
  <c r="C78" i="8"/>
  <c r="Q77" i="8"/>
  <c r="Q78" i="8" s="1"/>
  <c r="N77" i="8"/>
  <c r="O77" i="8" s="1"/>
  <c r="I77" i="8"/>
  <c r="D77" i="8"/>
  <c r="E77" i="8" s="1"/>
  <c r="N76" i="8"/>
  <c r="O76" i="8" s="1"/>
  <c r="P76" i="8" s="1"/>
  <c r="N75" i="8"/>
  <c r="I75" i="8"/>
  <c r="D75" i="8"/>
  <c r="E75" i="8" s="1"/>
  <c r="F75" i="8" s="1"/>
  <c r="N73" i="8"/>
  <c r="I73" i="8"/>
  <c r="D73" i="8"/>
  <c r="E73" i="8" s="1"/>
  <c r="N72" i="8"/>
  <c r="I72" i="8"/>
  <c r="J72" i="8" s="1"/>
  <c r="D72" i="8"/>
  <c r="Q69" i="8"/>
  <c r="M69" i="8"/>
  <c r="L69" i="8"/>
  <c r="H69" i="8"/>
  <c r="N67" i="8"/>
  <c r="O67" i="8" s="1"/>
  <c r="P67" i="8" s="1"/>
  <c r="D67" i="8"/>
  <c r="E67" i="8" s="1"/>
  <c r="N66" i="8"/>
  <c r="I66" i="8"/>
  <c r="J66" i="8" s="1"/>
  <c r="K66" i="8" s="1"/>
  <c r="D66" i="8"/>
  <c r="E66" i="8" s="1"/>
  <c r="F66" i="8" s="1"/>
  <c r="N65" i="8"/>
  <c r="O65" i="8" s="1"/>
  <c r="I65" i="8"/>
  <c r="G65" i="8"/>
  <c r="D65" i="8"/>
  <c r="P64" i="8"/>
  <c r="N63" i="8"/>
  <c r="O63" i="8" s="1"/>
  <c r="I63" i="8"/>
  <c r="D63" i="8"/>
  <c r="N62" i="8"/>
  <c r="I62" i="8"/>
  <c r="J62" i="8" s="1"/>
  <c r="G62" i="8"/>
  <c r="D62" i="8"/>
  <c r="E62" i="8" s="1"/>
  <c r="P61" i="8"/>
  <c r="K61" i="8"/>
  <c r="P60" i="8"/>
  <c r="K60" i="8"/>
  <c r="N59" i="8"/>
  <c r="O59" i="8" s="1"/>
  <c r="J59" i="8"/>
  <c r="I59" i="8"/>
  <c r="D59" i="8"/>
  <c r="N55" i="8"/>
  <c r="I55" i="8"/>
  <c r="D55" i="8"/>
  <c r="N54" i="8"/>
  <c r="I54" i="8"/>
  <c r="D54" i="8"/>
  <c r="N51" i="8"/>
  <c r="H51" i="8"/>
  <c r="I51" i="8" s="1"/>
  <c r="J51" i="8" s="1"/>
  <c r="C51" i="8"/>
  <c r="D51" i="8" s="1"/>
  <c r="E51" i="8" s="1"/>
  <c r="N50" i="8"/>
  <c r="O50" i="8" s="1"/>
  <c r="P50" i="8" s="1"/>
  <c r="I50" i="8"/>
  <c r="D50" i="8"/>
  <c r="N49" i="8"/>
  <c r="J49" i="8"/>
  <c r="I49" i="8"/>
  <c r="D49" i="8"/>
  <c r="N48" i="8"/>
  <c r="O48" i="8" s="1"/>
  <c r="I48" i="8"/>
  <c r="G48" i="8"/>
  <c r="D48" i="8"/>
  <c r="E48" i="8" s="1"/>
  <c r="N47" i="8"/>
  <c r="O47" i="8" s="1"/>
  <c r="I47" i="8"/>
  <c r="D47" i="8"/>
  <c r="E47" i="8" s="1"/>
  <c r="N45" i="8"/>
  <c r="O45" i="8" s="1"/>
  <c r="P45" i="8" s="1"/>
  <c r="I45" i="8"/>
  <c r="D45" i="8"/>
  <c r="N44" i="8"/>
  <c r="I44" i="8"/>
  <c r="J44" i="8" s="1"/>
  <c r="K44" i="8" s="1"/>
  <c r="D44" i="8"/>
  <c r="N43" i="8"/>
  <c r="I43" i="8"/>
  <c r="J43" i="8" s="1"/>
  <c r="D43" i="8"/>
  <c r="E43" i="8" s="1"/>
  <c r="F43" i="8" s="1"/>
  <c r="N42" i="8"/>
  <c r="I42" i="8"/>
  <c r="D42" i="8"/>
  <c r="E42" i="8" s="1"/>
  <c r="N41" i="8"/>
  <c r="I41" i="8"/>
  <c r="J41" i="8" s="1"/>
  <c r="D41" i="8"/>
  <c r="N40" i="8"/>
  <c r="O40" i="8" s="1"/>
  <c r="I40" i="8"/>
  <c r="D40" i="8"/>
  <c r="N39" i="8"/>
  <c r="I39" i="8"/>
  <c r="J39" i="8" s="1"/>
  <c r="D39" i="8"/>
  <c r="R37" i="8"/>
  <c r="R52" i="8" s="1"/>
  <c r="R56" i="8" s="1"/>
  <c r="U56" i="8" s="1"/>
  <c r="M37" i="8"/>
  <c r="M52" i="8" s="1"/>
  <c r="M56" i="8" s="1"/>
  <c r="H37" i="8"/>
  <c r="H52" i="8" s="1"/>
  <c r="H56" i="8" s="1"/>
  <c r="C37" i="8"/>
  <c r="C52" i="8" s="1"/>
  <c r="C56" i="8" s="1"/>
  <c r="N36" i="8"/>
  <c r="I36" i="8"/>
  <c r="J36" i="8" s="1"/>
  <c r="K36" i="8" s="1"/>
  <c r="D36" i="8"/>
  <c r="P35" i="8"/>
  <c r="P33" i="8"/>
  <c r="N32" i="8"/>
  <c r="N31" i="8"/>
  <c r="N30" i="8"/>
  <c r="I30" i="8"/>
  <c r="J30" i="8" s="1"/>
  <c r="K30" i="8" s="1"/>
  <c r="D30" i="8"/>
  <c r="E30" i="8" s="1"/>
  <c r="F30" i="8" s="1"/>
  <c r="N29" i="8"/>
  <c r="I29" i="8"/>
  <c r="D29" i="8"/>
  <c r="E29" i="8" s="1"/>
  <c r="F29" i="8" s="1"/>
  <c r="N28" i="8"/>
  <c r="P28" i="8" s="1"/>
  <c r="I28" i="8"/>
  <c r="D28" i="8"/>
  <c r="P27" i="8"/>
  <c r="K27" i="8"/>
  <c r="F27" i="8"/>
  <c r="N26" i="8"/>
  <c r="O26" i="8" s="1"/>
  <c r="I26" i="8"/>
  <c r="D26" i="8"/>
  <c r="P25" i="8"/>
  <c r="I25" i="8"/>
  <c r="E25" i="8"/>
  <c r="F25" i="8" s="1"/>
  <c r="O24" i="8"/>
  <c r="P24" i="8" s="1"/>
  <c r="J24" i="8"/>
  <c r="K24" i="8" s="1"/>
  <c r="O23" i="8"/>
  <c r="P23" i="8" s="1"/>
  <c r="I23" i="8"/>
  <c r="J23" i="8" s="1"/>
  <c r="D23" i="8"/>
  <c r="P22" i="8"/>
  <c r="I22" i="8"/>
  <c r="J22" i="8" s="1"/>
  <c r="K22" i="8" s="1"/>
  <c r="D22" i="8"/>
  <c r="N21" i="8"/>
  <c r="O21" i="8" s="1"/>
  <c r="I21" i="8"/>
  <c r="J21" i="8" s="1"/>
  <c r="G21" i="8"/>
  <c r="G37" i="8" s="1"/>
  <c r="G52" i="8" s="1"/>
  <c r="G56" i="8" s="1"/>
  <c r="G80" i="8" s="1"/>
  <c r="G87" i="8" s="1"/>
  <c r="D21" i="8"/>
  <c r="E21" i="8" s="1"/>
  <c r="P20" i="8"/>
  <c r="J20" i="8"/>
  <c r="K20" i="8" s="1"/>
  <c r="I19" i="8"/>
  <c r="D19" i="8"/>
  <c r="E19" i="8" s="1"/>
  <c r="F19" i="8" s="1"/>
  <c r="P18" i="8"/>
  <c r="I18" i="8"/>
  <c r="E18" i="8"/>
  <c r="F18" i="8" s="1"/>
  <c r="P17" i="8"/>
  <c r="I16" i="8"/>
  <c r="J16" i="8" s="1"/>
  <c r="D16" i="8"/>
  <c r="E16" i="8" s="1"/>
  <c r="F16" i="8" s="1"/>
  <c r="I15" i="8"/>
  <c r="D15" i="8"/>
  <c r="E15" i="8" s="1"/>
  <c r="P14" i="8"/>
  <c r="L14" i="8"/>
  <c r="F14" i="8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N44" i="5"/>
  <c r="I42" i="5"/>
  <c r="J42" i="5" s="1"/>
  <c r="E42" i="5"/>
  <c r="F42" i="5" s="1"/>
  <c r="D42" i="5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E33" i="5"/>
  <c r="D33" i="5"/>
  <c r="D35" i="5" s="1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E27" i="5"/>
  <c r="F27" i="5" s="1"/>
  <c r="D27" i="5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E29" i="5" s="1"/>
  <c r="R23" i="5"/>
  <c r="Q23" i="5"/>
  <c r="M23" i="5"/>
  <c r="L23" i="5"/>
  <c r="H23" i="5"/>
  <c r="G23" i="5"/>
  <c r="C23" i="5"/>
  <c r="N22" i="5"/>
  <c r="J22" i="5"/>
  <c r="K22" i="5" s="1"/>
  <c r="I22" i="5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J10" i="5" s="1"/>
  <c r="D8" i="5"/>
  <c r="E8" i="5" s="1"/>
  <c r="O85" i="2"/>
  <c r="O89" i="2" s="1"/>
  <c r="N85" i="2"/>
  <c r="N89" i="2" s="1"/>
  <c r="M85" i="2"/>
  <c r="M89" i="2" s="1"/>
  <c r="L85" i="2"/>
  <c r="L89" i="2" s="1"/>
  <c r="K85" i="2"/>
  <c r="K89" i="2" s="1"/>
  <c r="J85" i="2"/>
  <c r="J89" i="2" s="1"/>
  <c r="I85" i="2"/>
  <c r="I89" i="2" s="1"/>
  <c r="H85" i="2"/>
  <c r="H89" i="2" s="1"/>
  <c r="G85" i="2"/>
  <c r="G89" i="2" s="1"/>
  <c r="F85" i="2"/>
  <c r="F89" i="2" s="1"/>
  <c r="E85" i="2"/>
  <c r="E89" i="2" s="1"/>
  <c r="D85" i="2"/>
  <c r="D89" i="2" s="1"/>
  <c r="C85" i="2"/>
  <c r="C89" i="2" s="1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61" i="2"/>
  <c r="O63" i="2" s="1"/>
  <c r="O78" i="2" s="1"/>
  <c r="N61" i="2"/>
  <c r="N63" i="2" s="1"/>
  <c r="M61" i="2"/>
  <c r="M63" i="2" s="1"/>
  <c r="L61" i="2"/>
  <c r="L63" i="2" s="1"/>
  <c r="L78" i="2" s="1"/>
  <c r="K61" i="2"/>
  <c r="K63" i="2" s="1"/>
  <c r="K78" i="2" s="1"/>
  <c r="J61" i="2"/>
  <c r="J63" i="2" s="1"/>
  <c r="I61" i="2"/>
  <c r="I63" i="2" s="1"/>
  <c r="H61" i="2"/>
  <c r="H63" i="2" s="1"/>
  <c r="H78" i="2" s="1"/>
  <c r="G61" i="2"/>
  <c r="G63" i="2" s="1"/>
  <c r="G78" i="2" s="1"/>
  <c r="F61" i="2"/>
  <c r="F63" i="2" s="1"/>
  <c r="E61" i="2"/>
  <c r="E63" i="2" s="1"/>
  <c r="D61" i="2"/>
  <c r="D63" i="2" s="1"/>
  <c r="D78" i="2" s="1"/>
  <c r="C61" i="2"/>
  <c r="C63" i="2" s="1"/>
  <c r="C78" i="2" s="1"/>
  <c r="O34" i="2"/>
  <c r="O41" i="2" s="1"/>
  <c r="N34" i="2"/>
  <c r="N41" i="2" s="1"/>
  <c r="M34" i="2"/>
  <c r="M41" i="2" s="1"/>
  <c r="L34" i="2"/>
  <c r="L41" i="2" s="1"/>
  <c r="K34" i="2"/>
  <c r="K41" i="2" s="1"/>
  <c r="J34" i="2"/>
  <c r="J41" i="2" s="1"/>
  <c r="I34" i="2"/>
  <c r="I41" i="2" s="1"/>
  <c r="H34" i="2"/>
  <c r="H41" i="2" s="1"/>
  <c r="G34" i="2"/>
  <c r="G41" i="2" s="1"/>
  <c r="F34" i="2"/>
  <c r="F41" i="2" s="1"/>
  <c r="E34" i="2"/>
  <c r="E41" i="2" s="1"/>
  <c r="D34" i="2"/>
  <c r="D41" i="2" s="1"/>
  <c r="C34" i="2"/>
  <c r="C41" i="2" s="1"/>
  <c r="O18" i="2"/>
  <c r="O20" i="2" s="1"/>
  <c r="N18" i="2"/>
  <c r="N20" i="2" s="1"/>
  <c r="M18" i="2"/>
  <c r="M20" i="2" s="1"/>
  <c r="M43" i="2" s="1"/>
  <c r="L18" i="2"/>
  <c r="L20" i="2" s="1"/>
  <c r="K18" i="2"/>
  <c r="K20" i="2" s="1"/>
  <c r="J18" i="2"/>
  <c r="J20" i="2" s="1"/>
  <c r="I18" i="2"/>
  <c r="I20" i="2" s="1"/>
  <c r="I43" i="2" s="1"/>
  <c r="H18" i="2"/>
  <c r="H20" i="2" s="1"/>
  <c r="G18" i="2"/>
  <c r="G20" i="2" s="1"/>
  <c r="F18" i="2"/>
  <c r="F20" i="2" s="1"/>
  <c r="E18" i="2"/>
  <c r="E20" i="2" s="1"/>
  <c r="E43" i="2" s="1"/>
  <c r="D18" i="2"/>
  <c r="D20" i="2" s="1"/>
  <c r="C18" i="2"/>
  <c r="C20" i="2" s="1"/>
  <c r="G17" i="5" l="1"/>
  <c r="G30" i="5" s="1"/>
  <c r="G36" i="5" s="1"/>
  <c r="G40" i="5" s="1"/>
  <c r="M17" i="5"/>
  <c r="Q17" i="5"/>
  <c r="N43" i="2"/>
  <c r="O55" i="8"/>
  <c r="P55" i="8" s="1"/>
  <c r="C43" i="2"/>
  <c r="G43" i="2"/>
  <c r="K43" i="2"/>
  <c r="O43" i="2"/>
  <c r="E78" i="2"/>
  <c r="I78" i="2"/>
  <c r="I91" i="2" s="1"/>
  <c r="M78" i="2"/>
  <c r="D23" i="5"/>
  <c r="F48" i="8"/>
  <c r="O32" i="8"/>
  <c r="P32" i="8" s="1"/>
  <c r="F78" i="2"/>
  <c r="J78" i="2"/>
  <c r="N78" i="2"/>
  <c r="N91" i="2" s="1"/>
  <c r="M30" i="5"/>
  <c r="M36" i="5" s="1"/>
  <c r="M40" i="5" s="1"/>
  <c r="I16" i="5"/>
  <c r="J18" i="8"/>
  <c r="K18" i="8"/>
  <c r="O35" i="5"/>
  <c r="P33" i="5"/>
  <c r="P35" i="5" s="1"/>
  <c r="J44" i="5"/>
  <c r="K42" i="5"/>
  <c r="K44" i="5" s="1"/>
  <c r="N35" i="5"/>
  <c r="Q30" i="5"/>
  <c r="Q36" i="5" s="1"/>
  <c r="Q40" i="5" s="1"/>
  <c r="D44" i="5"/>
  <c r="R17" i="5"/>
  <c r="R30" i="5" s="1"/>
  <c r="R36" i="5" s="1"/>
  <c r="R40" i="5" s="1"/>
  <c r="C20" i="11"/>
  <c r="C34" i="11" s="1"/>
  <c r="D16" i="5"/>
  <c r="L17" i="5"/>
  <c r="L30" i="5" s="1"/>
  <c r="L36" i="5" s="1"/>
  <c r="L40" i="5" s="1"/>
  <c r="N23" i="5"/>
  <c r="C80" i="8"/>
  <c r="C87" i="8" s="1"/>
  <c r="L43" i="2"/>
  <c r="I35" i="5"/>
  <c r="E44" i="5"/>
  <c r="H20" i="11"/>
  <c r="H34" i="11" s="1"/>
  <c r="H43" i="2"/>
  <c r="C17" i="5"/>
  <c r="C30" i="5" s="1"/>
  <c r="C36" i="5" s="1"/>
  <c r="C40" i="5" s="1"/>
  <c r="H80" i="8"/>
  <c r="H87" i="8" s="1"/>
  <c r="E20" i="11"/>
  <c r="E34" i="11" s="1"/>
  <c r="J20" i="11"/>
  <c r="J34" i="11" s="1"/>
  <c r="D43" i="2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J17" i="5" s="1"/>
  <c r="P84" i="8"/>
  <c r="D20" i="11"/>
  <c r="D34" i="11" s="1"/>
  <c r="N78" i="8"/>
  <c r="E9" i="8"/>
  <c r="F9" i="8" s="1"/>
  <c r="K16" i="8"/>
  <c r="I37" i="8"/>
  <c r="I52" i="8" s="1"/>
  <c r="I56" i="8" s="1"/>
  <c r="E40" i="8"/>
  <c r="F40" i="8" s="1"/>
  <c r="E63" i="8"/>
  <c r="F63" i="8" s="1"/>
  <c r="J85" i="8"/>
  <c r="K85" i="8" s="1"/>
  <c r="D37" i="8"/>
  <c r="D52" i="8" s="1"/>
  <c r="D56" i="8" s="1"/>
  <c r="N37" i="8"/>
  <c r="N52" i="8" s="1"/>
  <c r="N56" i="8" s="1"/>
  <c r="F15" i="8"/>
  <c r="J19" i="8"/>
  <c r="K19" i="8" s="1"/>
  <c r="P21" i="8"/>
  <c r="O36" i="8"/>
  <c r="P36" i="8" s="1"/>
  <c r="K41" i="8"/>
  <c r="O44" i="8"/>
  <c r="P44" i="8" s="1"/>
  <c r="P47" i="8"/>
  <c r="K49" i="8"/>
  <c r="E50" i="8"/>
  <c r="F50" i="8" s="1"/>
  <c r="E54" i="8"/>
  <c r="F54" i="8" s="1"/>
  <c r="E55" i="8"/>
  <c r="F55" i="8" s="1"/>
  <c r="D69" i="8"/>
  <c r="F73" i="8"/>
  <c r="O73" i="8"/>
  <c r="P73" i="8" s="1"/>
  <c r="P11" i="8"/>
  <c r="K23" i="8"/>
  <c r="J25" i="8"/>
  <c r="K25" i="8" s="1"/>
  <c r="P26" i="8"/>
  <c r="K39" i="8"/>
  <c r="F42" i="8"/>
  <c r="O42" i="8"/>
  <c r="P42" i="8" s="1"/>
  <c r="J45" i="8"/>
  <c r="K45" i="8" s="1"/>
  <c r="O54" i="8"/>
  <c r="P54" i="8" s="1"/>
  <c r="K62" i="8"/>
  <c r="P65" i="8"/>
  <c r="J75" i="8"/>
  <c r="K75" i="8" s="1"/>
  <c r="F21" i="8"/>
  <c r="R80" i="8"/>
  <c r="P40" i="8"/>
  <c r="K43" i="8"/>
  <c r="E44" i="8"/>
  <c r="F44" i="8" s="1"/>
  <c r="F47" i="8"/>
  <c r="P48" i="8"/>
  <c r="I69" i="8"/>
  <c r="P63" i="8"/>
  <c r="F67" i="8"/>
  <c r="I78" i="8"/>
  <c r="F77" i="8"/>
  <c r="M80" i="8"/>
  <c r="M87" i="8" s="1"/>
  <c r="J9" i="8"/>
  <c r="K9" i="8" s="1"/>
  <c r="Q37" i="8"/>
  <c r="Q52" i="8" s="1"/>
  <c r="Q56" i="8" s="1"/>
  <c r="Q80" i="8" s="1"/>
  <c r="Q87" i="8" s="1"/>
  <c r="P9" i="8"/>
  <c r="L37" i="8"/>
  <c r="L52" i="8" s="1"/>
  <c r="L56" i="8" s="1"/>
  <c r="L80" i="8" s="1"/>
  <c r="L87" i="8" s="1"/>
  <c r="K14" i="8"/>
  <c r="K11" i="8"/>
  <c r="F11" i="8"/>
  <c r="P15" i="8"/>
  <c r="K21" i="8"/>
  <c r="O39" i="8"/>
  <c r="P39" i="8" s="1"/>
  <c r="E41" i="8"/>
  <c r="F41" i="8" s="1"/>
  <c r="J42" i="8"/>
  <c r="K42" i="8" s="1"/>
  <c r="O43" i="8"/>
  <c r="P43" i="8" s="1"/>
  <c r="E45" i="8"/>
  <c r="F45" i="8" s="1"/>
  <c r="J47" i="8"/>
  <c r="K47" i="8" s="1"/>
  <c r="E49" i="8"/>
  <c r="F49" i="8" s="1"/>
  <c r="J50" i="8"/>
  <c r="K50" i="8" s="1"/>
  <c r="F51" i="8"/>
  <c r="K51" i="8"/>
  <c r="J54" i="8"/>
  <c r="K54" i="8" s="1"/>
  <c r="J55" i="8"/>
  <c r="K55" i="8" s="1"/>
  <c r="P59" i="8"/>
  <c r="F62" i="8"/>
  <c r="J63" i="8"/>
  <c r="K63" i="8" s="1"/>
  <c r="N69" i="8"/>
  <c r="O72" i="8"/>
  <c r="E85" i="8"/>
  <c r="F85" i="8" s="1"/>
  <c r="J15" i="8"/>
  <c r="K15" i="8" s="1"/>
  <c r="O16" i="8"/>
  <c r="P19" i="8"/>
  <c r="E22" i="8"/>
  <c r="F22" i="8" s="1"/>
  <c r="E23" i="8"/>
  <c r="F23" i="8" s="1"/>
  <c r="J26" i="8"/>
  <c r="K26" i="8" s="1"/>
  <c r="J28" i="8"/>
  <c r="K28" i="8" s="1"/>
  <c r="O29" i="8"/>
  <c r="P29" i="8" s="1"/>
  <c r="O31" i="8"/>
  <c r="P31" i="8" s="1"/>
  <c r="E36" i="8"/>
  <c r="F36" i="8" s="1"/>
  <c r="D78" i="8"/>
  <c r="E26" i="8"/>
  <c r="F26" i="8" s="1"/>
  <c r="E28" i="8"/>
  <c r="F28" i="8" s="1"/>
  <c r="J29" i="8"/>
  <c r="K29" i="8" s="1"/>
  <c r="O30" i="8"/>
  <c r="P30" i="8" s="1"/>
  <c r="E39" i="8"/>
  <c r="F39" i="8" s="1"/>
  <c r="J40" i="8"/>
  <c r="K40" i="8" s="1"/>
  <c r="O41" i="8"/>
  <c r="P41" i="8" s="1"/>
  <c r="J48" i="8"/>
  <c r="K48" i="8" s="1"/>
  <c r="O49" i="8"/>
  <c r="P49" i="8" s="1"/>
  <c r="O51" i="8"/>
  <c r="P51" i="8" s="1"/>
  <c r="E59" i="8"/>
  <c r="K59" i="8"/>
  <c r="O62" i="8"/>
  <c r="P62" i="8" s="1"/>
  <c r="E65" i="8"/>
  <c r="F65" i="8" s="1"/>
  <c r="J65" i="8"/>
  <c r="K65" i="8" s="1"/>
  <c r="O66" i="8"/>
  <c r="P66" i="8" s="1"/>
  <c r="E72" i="8"/>
  <c r="E78" i="8" s="1"/>
  <c r="K72" i="8"/>
  <c r="J73" i="8"/>
  <c r="O75" i="8"/>
  <c r="P75" i="8" s="1"/>
  <c r="J77" i="8"/>
  <c r="K77" i="8" s="1"/>
  <c r="P77" i="8"/>
  <c r="O85" i="8"/>
  <c r="P85" i="8" s="1"/>
  <c r="J23" i="5"/>
  <c r="K20" i="5"/>
  <c r="K23" i="5" s="1"/>
  <c r="O16" i="5"/>
  <c r="P13" i="5"/>
  <c r="P16" i="5" s="1"/>
  <c r="J29" i="5"/>
  <c r="K25" i="5"/>
  <c r="K29" i="5" s="1"/>
  <c r="E35" i="5"/>
  <c r="F8" i="5"/>
  <c r="F10" i="5" s="1"/>
  <c r="E10" i="5"/>
  <c r="F44" i="5"/>
  <c r="D29" i="5"/>
  <c r="J35" i="5"/>
  <c r="D10" i="5"/>
  <c r="E13" i="5"/>
  <c r="F20" i="5"/>
  <c r="F23" i="5" s="1"/>
  <c r="O22" i="5"/>
  <c r="P22" i="5" s="1"/>
  <c r="I23" i="5"/>
  <c r="F25" i="5"/>
  <c r="F29" i="5" s="1"/>
  <c r="I29" i="5"/>
  <c r="F33" i="5"/>
  <c r="F35" i="5" s="1"/>
  <c r="O42" i="5"/>
  <c r="I10" i="5"/>
  <c r="I17" i="5" s="1"/>
  <c r="N16" i="5"/>
  <c r="N17" i="5" s="1"/>
  <c r="N29" i="5"/>
  <c r="I44" i="5"/>
  <c r="K8" i="5"/>
  <c r="K10" i="5" s="1"/>
  <c r="P20" i="5"/>
  <c r="P23" i="5" s="1"/>
  <c r="P25" i="5"/>
  <c r="P29" i="5" s="1"/>
  <c r="F91" i="2"/>
  <c r="J91" i="2"/>
  <c r="M91" i="2"/>
  <c r="F43" i="2"/>
  <c r="C91" i="2"/>
  <c r="G91" i="2"/>
  <c r="K91" i="2"/>
  <c r="O91" i="2"/>
  <c r="J43" i="2"/>
  <c r="D91" i="2"/>
  <c r="H91" i="2"/>
  <c r="L91" i="2"/>
  <c r="E91" i="2"/>
  <c r="D17" i="5" l="1"/>
  <c r="R87" i="8"/>
  <c r="U87" i="8" s="1"/>
  <c r="U80" i="8"/>
  <c r="N80" i="8"/>
  <c r="N87" i="8" s="1"/>
  <c r="N30" i="5"/>
  <c r="N36" i="5" s="1"/>
  <c r="N40" i="5" s="1"/>
  <c r="O23" i="5"/>
  <c r="K13" i="5"/>
  <c r="K16" i="5" s="1"/>
  <c r="K17" i="5" s="1"/>
  <c r="K30" i="5" s="1"/>
  <c r="K36" i="5" s="1"/>
  <c r="K40" i="5" s="1"/>
  <c r="J30" i="5"/>
  <c r="J36" i="5" s="1"/>
  <c r="J40" i="5" s="1"/>
  <c r="I80" i="8"/>
  <c r="I87" i="8" s="1"/>
  <c r="J78" i="8"/>
  <c r="O37" i="8"/>
  <c r="O52" i="8" s="1"/>
  <c r="O56" i="8" s="1"/>
  <c r="D80" i="8"/>
  <c r="D87" i="8" s="1"/>
  <c r="P69" i="8"/>
  <c r="F37" i="8"/>
  <c r="F52" i="8" s="1"/>
  <c r="F56" i="8" s="1"/>
  <c r="P16" i="8"/>
  <c r="P37" i="8" s="1"/>
  <c r="P52" i="8" s="1"/>
  <c r="P56" i="8" s="1"/>
  <c r="E69" i="8"/>
  <c r="F59" i="8"/>
  <c r="F69" i="8" s="1"/>
  <c r="E37" i="8"/>
  <c r="E52" i="8" s="1"/>
  <c r="E56" i="8" s="1"/>
  <c r="J69" i="8"/>
  <c r="K73" i="8"/>
  <c r="K78" i="8" s="1"/>
  <c r="K37" i="8"/>
  <c r="K52" i="8" s="1"/>
  <c r="K56" i="8" s="1"/>
  <c r="J37" i="8"/>
  <c r="J52" i="8" s="1"/>
  <c r="J56" i="8" s="1"/>
  <c r="K69" i="8"/>
  <c r="P72" i="8"/>
  <c r="P78" i="8" s="1"/>
  <c r="O78" i="8"/>
  <c r="O69" i="8"/>
  <c r="F72" i="8"/>
  <c r="F78" i="8" s="1"/>
  <c r="I30" i="5"/>
  <c r="I36" i="5" s="1"/>
  <c r="I40" i="5" s="1"/>
  <c r="P8" i="5"/>
  <c r="P10" i="5" s="1"/>
  <c r="P17" i="5" s="1"/>
  <c r="P30" i="5" s="1"/>
  <c r="P36" i="5" s="1"/>
  <c r="P40" i="5" s="1"/>
  <c r="O10" i="5"/>
  <c r="O17" i="5" s="1"/>
  <c r="O30" i="5" s="1"/>
  <c r="O36" i="5" s="1"/>
  <c r="O40" i="5" s="1"/>
  <c r="P42" i="5"/>
  <c r="P44" i="5" s="1"/>
  <c r="O44" i="5"/>
  <c r="F13" i="5"/>
  <c r="F16" i="5" s="1"/>
  <c r="F17" i="5" s="1"/>
  <c r="F30" i="5" s="1"/>
  <c r="F36" i="5" s="1"/>
  <c r="F40" i="5" s="1"/>
  <c r="E16" i="5"/>
  <c r="E17" i="5" s="1"/>
  <c r="E30" i="5" s="1"/>
  <c r="E36" i="5" s="1"/>
  <c r="E40" i="5" s="1"/>
  <c r="D30" i="5"/>
  <c r="D36" i="5" s="1"/>
  <c r="D40" i="5" s="1"/>
  <c r="J80" i="8" l="1"/>
  <c r="J87" i="8" s="1"/>
  <c r="O80" i="8"/>
  <c r="O87" i="8" s="1"/>
  <c r="K80" i="8"/>
  <c r="K87" i="8" s="1"/>
  <c r="E80" i="8"/>
  <c r="E87" i="8" s="1"/>
  <c r="P80" i="8"/>
  <c r="P87" i="8" s="1"/>
  <c r="F80" i="8"/>
  <c r="F87" i="8" s="1"/>
</calcChain>
</file>

<file path=xl/sharedStrings.xml><?xml version="1.0" encoding="utf-8"?>
<sst xmlns="http://schemas.openxmlformats.org/spreadsheetml/2006/main" count="280" uniqueCount="196">
  <si>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</si>
  <si>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</si>
  <si>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</si>
  <si>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</si>
  <si>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</si>
  <si>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</si>
  <si>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</si>
  <si>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</si>
  <si>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</si>
  <si>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Instrumentos financeiros - compromisso firme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</si>
  <si>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</si>
  <si>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</si>
  <si>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</si>
  <si>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</si>
  <si>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</si>
  <si>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</si>
  <si>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</si>
  <si>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</si>
  <si>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</si>
  <si>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</si>
  <si>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</si>
  <si>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</si>
  <si>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</si>
  <si>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</si>
  <si>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</si>
  <si>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</si>
  <si>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</si>
  <si>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</si>
  <si>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</si>
  <si>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</si>
  <si>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</si>
  <si>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</si>
  <si>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</si>
  <si>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</si>
  <si>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</si>
  <si>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</si>
  <si>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Plano de pensão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</si>
  <si>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</si>
  <si>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</si>
  <si>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</si>
  <si>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</si>
  <si>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</si>
  <si>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</si>
  <si>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</si>
  <si>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</si>
  <si>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</si>
  <si>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</si>
  <si>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</si>
  <si>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</si>
  <si>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</si>
  <si>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</si>
  <si>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</si>
  <si>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</si>
  <si>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</si>
  <si>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</si>
  <si>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</si>
  <si>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</si>
  <si>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</si>
  <si>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</si>
  <si>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</si>
  <si>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</si>
  <si>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</si>
  <si>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</si>
  <si>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</si>
  <si>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</si>
  <si>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Lucro operacional antes das participações societárias e do resultado financeiro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</si>
  <si>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</si>
  <si>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</si>
  <si>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</si>
  <si>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</si>
  <si>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</si>
  <si>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</si>
  <si>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</si>
  <si>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</si>
  <si>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</si>
  <si>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Lucro antes do imposto de renda e da contribuição social</t>
  </si>
  <si>
    <t>Imposto de renda e contribuição social</t>
  </si>
  <si>
    <t>Correntes</t>
  </si>
  <si>
    <t>Diferidos</t>
  </si>
  <si>
    <t>Lucro das operações continuadas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</si>
  <si>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</si>
  <si>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</si>
  <si>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</si>
  <si>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</si>
  <si>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</si>
  <si>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</si>
  <si>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</si>
  <si>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</si>
  <si>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</si>
  <si>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>Lucro líquido antes do imposto de renda e contribuição social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</si>
  <si>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</si>
  <si>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</si>
  <si>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</si>
  <si>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</si>
  <si>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</si>
  <si>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 xml:space="preserve">   Instrumentos financeiros - compromisso firme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</si>
  <si>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</si>
  <si>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</si>
  <si>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</si>
  <si>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</si>
  <si>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</si>
  <si>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</si>
  <si>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</si>
  <si>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</si>
  <si>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</si>
  <si>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</si>
  <si>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</si>
  <si>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</si>
  <si>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</si>
  <si>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</si>
  <si>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Caixa líquido proveniente das atividades operacionais</t>
  </si>
  <si>
    <t>Fluxo de caixa das atividades de investimento</t>
  </si>
  <si>
    <t xml:space="preserve">   Recebimento de venda de imobilizado e intangível</t>
  </si>
  <si>
    <t xml:space="preserve">   Recebimento pela venda de investimento</t>
  </si>
  <si>
    <t xml:space="preserve">   Recebimento de dividendos</t>
  </si>
  <si>
    <t xml:space="preserve">   Aquisição de imobilizado</t>
  </si>
  <si>
    <t xml:space="preserve">   Aumento de ativo biológico</t>
  </si>
  <si>
    <t xml:space="preserve">   Aquisição de intangível</t>
  </si>
  <si>
    <t>Caixa líquido aplicado nas atividade de investimento</t>
  </si>
  <si>
    <t xml:space="preserve">   Captações de recursos</t>
  </si>
  <si>
    <t xml:space="preserve">   Liquidação de empréstimos e financiamentos</t>
  </si>
  <si>
    <t xml:space="preserve">   Pagamento de dividendos</t>
  </si>
  <si>
    <t>Caixa líquido aplicado nas atividades de financiamentos</t>
  </si>
  <si>
    <t>Fluxo de caixa das atividades de financiamentos</t>
  </si>
  <si>
    <t>Decréscimo em caixa e quivalentes de caixa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</si>
  <si>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</si>
  <si>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</si>
  <si>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</si>
  <si>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</si>
  <si>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</si>
  <si>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</si>
  <si>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</si>
  <si>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</si>
  <si>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</si>
  <si>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</si>
  <si>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</si>
  <si>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</si>
  <si>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</si>
  <si>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</si>
  <si>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Venda de ações da Nexa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</si>
  <si>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</si>
  <si>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</si>
  <si>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</si>
  <si>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</si>
  <si>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</si>
  <si>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</si>
  <si>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</si>
  <si>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</si>
  <si>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 xml:space="preserve">   Ganho na renegociação de dívidas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</si>
  <si>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</si>
  <si>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</si>
  <si>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</si>
  <si>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</si>
  <si>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</si>
  <si>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</si>
  <si>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</si>
  <si>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</si>
  <si>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</si>
  <si>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</si>
  <si>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</si>
  <si>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</si>
  <si>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</si>
  <si>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   EBITDA - operações descontinuadas</t>
  </si>
  <si>
    <t xml:space="preserve">   Itens não recorrentes - operações descontinuadas</t>
  </si>
  <si>
    <t xml:space="preserve">   Ganho líquido na venda de investimentos</t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</si>
  <si>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 e intangível</t>
    </r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</si>
  <si>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investimentos</t>
    </r>
  </si>
  <si>
    <t xml:space="preserve">   Valor justo dos ativos biológicos</t>
  </si>
  <si>
    <t xml:space="preserve">   Pagamento PERT com crédito de impostos diferidos</t>
  </si>
  <si>
    <t xml:space="preserve">   Outros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</si>
  <si>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</si>
  <si>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</si>
  <si>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</si>
  <si>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</si>
  <si>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</si>
  <si>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</si>
  <si>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</si>
  <si>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</si>
  <si>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</si>
  <si>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</si>
  <si>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</si>
  <si>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Intrumentos financeiros - Suzano</t>
  </si>
  <si>
    <t>Direito sobre uso de contratos de arrendamento</t>
  </si>
  <si>
    <t>Arrendamento mercantil</t>
  </si>
  <si>
    <t>1T19</t>
  </si>
  <si>
    <t xml:space="preserve">   Liquidação de contratos de arrendamento mercantil</t>
  </si>
  <si>
    <t>Total do patrimônio líquido</t>
  </si>
  <si>
    <t>2T19</t>
  </si>
  <si>
    <t xml:space="preserve">   Ganho na transação Fibria</t>
  </si>
  <si>
    <t>Instrumentos financeiros - put option</t>
  </si>
  <si>
    <t xml:space="preserve">   Realização de outros resultados abrangentes na liquidação da Voto IV</t>
  </si>
  <si>
    <t>Reconhecimento de crédito de PIS e COFINS sobre a base de cálculo de ICMS</t>
  </si>
  <si>
    <t>3T19</t>
  </si>
  <si>
    <t>2019</t>
  </si>
  <si>
    <t>4T19</t>
  </si>
  <si>
    <t xml:space="preserve">   Demais créditos e outros 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</si>
</sst>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* #,##0_);_(* \(#,##0\);_(* &quot;-&quot;??__\);_(@_)"/>
    <numFmt numFmtId="165" formatCode="#,##0;\(#,##0\)"/>
    <numFmt numFmtId="166" formatCode="#,###;\(#,###\)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0" fontId="0" fillId="0" borderId="0" xfId="0" applyAlignment="1">
      <alignment horizontal="left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0" fillId="0" borderId="0" xfId="0" applyNumberFormat="1" applyFill="1" applyBorder="1"/>
    <xf numFmtId="165" fontId="4" fillId="0" borderId="0" xfId="0" applyNumberFormat="1" applyFont="1" applyBorder="1"/>
    <xf numFmtId="165" fontId="0" fillId="0" borderId="0" xfId="0" applyNumberFormat="1" applyBorder="1"/>
    <xf numFmtId="165" fontId="4" fillId="0" borderId="0" xfId="0" applyNumberFormat="1" applyFont="1" applyAlignment="1">
      <alignment horizontal="left" indent="1"/>
    </xf>
    <xf numFmtId="165" fontId="4" fillId="4" borderId="0" xfId="0" applyNumberFormat="1" applyFont="1" applyFill="1"/>
    <xf numFmtId="165" fontId="10" fillId="3" borderId="0" xfId="0" applyNumberFormat="1" applyFont="1" applyFill="1"/>
    <xf numFmtId="165" fontId="3" fillId="0" borderId="0" xfId="0" applyNumberFormat="1" applyFont="1" applyBorder="1"/>
    <xf numFmtId="165" fontId="5" fillId="0" borderId="0" xfId="0" applyNumberFormat="1" applyFont="1" applyBorder="1"/>
    <xf numFmtId="165" fontId="4" fillId="3" borderId="4" xfId="0" applyNumberFormat="1" applyFont="1" applyFill="1" applyBorder="1" applyAlignment="1">
      <alignment horizontal="right" vertical="center"/>
    </xf>
    <xf numFmtId="165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jpg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38</xdr:row>
      <xdr:rowOff>47625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7286625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552450</xdr:colOff>
      <xdr:row>37</xdr:row>
      <xdr:rowOff>47395</xdr:rowOff>
    </xdr:to>
    <xdr:sp macro="" textlink="">
      <xdr:nvSpPr>
        <xdr:cNvPr id="14" name="Caixa de Texto 2"/>
        <xdr:cNvSpPr txBox="1">
          <a:spLocks noChangeArrowheads="1"/>
        </xdr:cNvSpPr>
      </xdr:nvSpPr>
      <xdr:spPr bwMode="auto">
        <a:xfrm>
          <a:off x="0" y="6305550"/>
          <a:ext cx="3600450" cy="790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spcAft>
              <a:spcPts val="0"/>
            </a:spcAft>
          </a:pPr>
          <a:r>
            <a:rPr lang="en-US" sz="2800" b="1">
              <a:solidFill>
                <a:srgbClr val="0000BE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800" b="1">
              <a:solidFill>
                <a:srgbClr val="96969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2019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/>
  </sheetViews>
  <sheetFormatPr defaultColWidth="0" defaultRowHeight="15" zeroHeight="1" x14ac:dyDescent="0.25"/>
  <cols>
    <col min="1" max="10" width="9.140625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7.25" customHeight="1" x14ac:dyDescent="0.25">
      <c r="A39" s="87" t="s">
        <v>176</v>
      </c>
      <c r="B39" s="87"/>
      <c r="C39" s="87"/>
      <c r="D39" s="87"/>
      <c r="E39" s="87"/>
      <c r="F39" s="87"/>
      <c r="G39" s="87"/>
      <c r="H39" s="87"/>
      <c r="I39" s="87"/>
      <c r="J39" s="87"/>
    </row>
    <row r="40" spans="1:10" hidden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17"/>
  <sheetViews>
    <sheetView showGridLines="0" workbookViewId="0">
      <pane xSplit="2" ySplit="6" topLeftCell="H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3.42578125" customWidth="1"/>
    <col min="2" max="2" width="61.42578125" bestFit="1" customWidth="1"/>
    <col min="3" max="13" width="18" customWidth="1"/>
    <col min="14" max="14" width="18" style="52" customWidth="1"/>
    <col min="15" max="18" width="18" customWidth="1"/>
  </cols>
  <sheetData>
    <row r="4" spans="2:18" ht="15" customHeight="1" x14ac:dyDescent="0.25">
      <c r="B4" s="3"/>
      <c r="C4" s="88" t="s">
        <v>49</v>
      </c>
      <c r="D4" s="88"/>
      <c r="E4" s="88"/>
      <c r="F4" s="88"/>
      <c r="G4" s="88" t="s">
        <v>54</v>
      </c>
      <c r="H4" s="88"/>
      <c r="I4" s="88"/>
      <c r="J4" s="88"/>
      <c r="K4" s="89" t="s">
        <v>56</v>
      </c>
      <c r="L4" s="89"/>
      <c r="M4" s="89"/>
      <c r="N4" s="89"/>
      <c r="O4" s="90">
        <v>2019</v>
      </c>
      <c r="P4" s="90"/>
      <c r="Q4" s="90"/>
      <c r="R4" s="90"/>
    </row>
    <row r="5" spans="2:18" ht="15.75" x14ac:dyDescent="0.25">
      <c r="B5" s="4" t="s">
        <v>177</v>
      </c>
      <c r="C5" s="88"/>
      <c r="D5" s="88"/>
      <c r="E5" s="88"/>
      <c r="F5" s="88"/>
      <c r="G5" s="88"/>
      <c r="H5" s="88"/>
      <c r="I5" s="88"/>
      <c r="J5" s="88"/>
      <c r="K5" s="89"/>
      <c r="L5" s="89"/>
      <c r="M5" s="89"/>
      <c r="N5" s="89"/>
      <c r="O5" s="90"/>
      <c r="P5" s="90"/>
      <c r="Q5" s="90"/>
      <c r="R5" s="90"/>
    </row>
    <row r="6" spans="2:18" ht="15.75" x14ac:dyDescent="0.25">
      <c r="B6" s="4" t="s">
        <v>87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</row>
    <row r="7" spans="2:18" ht="15.75" x14ac:dyDescent="0.25">
      <c r="B7" s="5" t="s">
        <v>0</v>
      </c>
    </row>
    <row r="8" spans="2:18" x14ac:dyDescent="0.25">
      <c r="B8" s="1" t="s">
        <v>1</v>
      </c>
    </row>
    <row r="9" spans="2:18" x14ac:dyDescent="0.2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51">
        <v>7742</v>
      </c>
      <c r="O9" s="7">
        <v>6921</v>
      </c>
      <c r="P9" s="7">
        <v>4944</v>
      </c>
      <c r="Q9" s="7">
        <v>6021</v>
      </c>
      <c r="R9" s="7">
        <v>6262</v>
      </c>
    </row>
    <row r="10" spans="2:18" x14ac:dyDescent="0.2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51">
        <v>3315</v>
      </c>
      <c r="O10" s="7">
        <v>3824</v>
      </c>
      <c r="P10" s="7">
        <v>4894</v>
      </c>
      <c r="Q10" s="7">
        <v>3972</v>
      </c>
      <c r="R10" s="7">
        <v>4444</v>
      </c>
    </row>
    <row r="11" spans="2:18" x14ac:dyDescent="0.2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51">
        <v>216</v>
      </c>
      <c r="O11" s="7">
        <v>221</v>
      </c>
      <c r="P11" s="7">
        <v>131</v>
      </c>
      <c r="Q11" s="7">
        <v>99</v>
      </c>
      <c r="R11" s="7">
        <v>62</v>
      </c>
    </row>
    <row r="12" spans="2:18" x14ac:dyDescent="0.25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51">
        <v>2546</v>
      </c>
      <c r="O12" s="7">
        <v>2668</v>
      </c>
      <c r="P12" s="7">
        <v>2975</v>
      </c>
      <c r="Q12" s="7">
        <v>2767</v>
      </c>
      <c r="R12" s="7">
        <v>2196</v>
      </c>
    </row>
    <row r="13" spans="2:18" x14ac:dyDescent="0.25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51">
        <v>3814</v>
      </c>
      <c r="O13" s="7">
        <v>4015</v>
      </c>
      <c r="P13" s="7">
        <v>4113</v>
      </c>
      <c r="Q13" s="7">
        <v>4129</v>
      </c>
      <c r="R13" s="7">
        <v>4129</v>
      </c>
    </row>
    <row r="14" spans="2:18" x14ac:dyDescent="0.25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51">
        <v>1473</v>
      </c>
      <c r="O14" s="7">
        <v>1567</v>
      </c>
      <c r="P14" s="7">
        <v>1803</v>
      </c>
      <c r="Q14" s="7">
        <v>1821</v>
      </c>
      <c r="R14" s="7">
        <v>1968</v>
      </c>
    </row>
    <row r="15" spans="2:18" x14ac:dyDescent="0.25">
      <c r="B15" s="2" t="s">
        <v>8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51">
        <v>14</v>
      </c>
      <c r="O15" s="7">
        <v>14</v>
      </c>
      <c r="P15" s="7">
        <v>200</v>
      </c>
      <c r="Q15" s="7">
        <v>200</v>
      </c>
      <c r="R15" s="7">
        <v>81</v>
      </c>
    </row>
    <row r="16" spans="2:18" x14ac:dyDescent="0.25">
      <c r="B16" s="2" t="s">
        <v>9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51">
        <v>202</v>
      </c>
      <c r="O16" s="7">
        <v>102</v>
      </c>
      <c r="P16" s="7">
        <v>46</v>
      </c>
      <c r="Q16" s="7">
        <v>15</v>
      </c>
      <c r="R16" s="7">
        <v>0</v>
      </c>
    </row>
    <row r="17" spans="2:18" x14ac:dyDescent="0.25">
      <c r="B17" s="2" t="s">
        <v>10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62">
        <v>564</v>
      </c>
      <c r="O17" s="8">
        <v>512</v>
      </c>
      <c r="P17" s="8">
        <v>605</v>
      </c>
      <c r="Q17" s="8">
        <v>638</v>
      </c>
      <c r="R17" s="8">
        <v>621</v>
      </c>
    </row>
    <row r="18" spans="2:18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55">
        <f t="shared" si="0"/>
        <v>19886</v>
      </c>
      <c r="O18" s="9">
        <f t="shared" si="0"/>
        <v>19844</v>
      </c>
      <c r="P18" s="9">
        <f t="shared" ref="P18:Q18" si="1">SUM(P9:P17)</f>
        <v>19711</v>
      </c>
      <c r="Q18" s="9">
        <f t="shared" si="1"/>
        <v>19662</v>
      </c>
      <c r="R18" s="9">
        <f t="shared" ref="R18" si="2">SUM(R9:R17)</f>
        <v>19763</v>
      </c>
    </row>
    <row r="19" spans="2:18" x14ac:dyDescent="0.25">
      <c r="B19" s="2" t="s">
        <v>11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51">
        <v>4527</v>
      </c>
      <c r="O19" s="7">
        <v>232</v>
      </c>
      <c r="P19" s="7">
        <v>0</v>
      </c>
      <c r="Q19" s="7">
        <v>0</v>
      </c>
      <c r="R19" s="7">
        <v>0</v>
      </c>
    </row>
    <row r="20" spans="2:18" s="16" customFormat="1" x14ac:dyDescent="0.25">
      <c r="B20" s="1"/>
      <c r="C20" s="14">
        <f t="shared" ref="C20:O20" si="3">SUM(C18:C19)</f>
        <v>18005</v>
      </c>
      <c r="D20" s="14">
        <f t="shared" si="3"/>
        <v>16887</v>
      </c>
      <c r="E20" s="14">
        <f t="shared" si="3"/>
        <v>17384</v>
      </c>
      <c r="F20" s="14">
        <f t="shared" si="3"/>
        <v>20383</v>
      </c>
      <c r="G20" s="14">
        <f t="shared" si="3"/>
        <v>19226</v>
      </c>
      <c r="H20" s="14">
        <f t="shared" si="3"/>
        <v>20434</v>
      </c>
      <c r="I20" s="14">
        <f t="shared" si="3"/>
        <v>20839</v>
      </c>
      <c r="J20" s="14">
        <f t="shared" si="3"/>
        <v>23179</v>
      </c>
      <c r="K20" s="14">
        <f t="shared" si="3"/>
        <v>25337</v>
      </c>
      <c r="L20" s="14">
        <f t="shared" si="3"/>
        <v>23628</v>
      </c>
      <c r="M20" s="14">
        <f t="shared" si="3"/>
        <v>24413</v>
      </c>
      <c r="N20" s="56">
        <f t="shared" si="3"/>
        <v>24413</v>
      </c>
      <c r="O20" s="14">
        <f t="shared" si="3"/>
        <v>20076</v>
      </c>
      <c r="P20" s="14">
        <f t="shared" ref="P20:Q20" si="4">SUM(P18:P19)</f>
        <v>19711</v>
      </c>
      <c r="Q20" s="14">
        <f t="shared" si="4"/>
        <v>19662</v>
      </c>
      <c r="R20" s="14">
        <f t="shared" ref="R20" si="5">SUM(R18:R19)</f>
        <v>19763</v>
      </c>
    </row>
    <row r="21" spans="2:18" x14ac:dyDescent="0.25">
      <c r="B21" s="1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51"/>
      <c r="O21" s="7"/>
      <c r="P21" s="7"/>
      <c r="Q21" s="7"/>
      <c r="R21" s="7"/>
    </row>
    <row r="22" spans="2:18" x14ac:dyDescent="0.25">
      <c r="B22" s="2" t="s">
        <v>13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51"/>
      <c r="O22" s="7"/>
      <c r="P22" s="7"/>
      <c r="Q22" s="7"/>
      <c r="R22" s="7"/>
    </row>
    <row r="23" spans="2:18" x14ac:dyDescent="0.25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51">
        <v>23</v>
      </c>
      <c r="O23" s="7">
        <v>23</v>
      </c>
      <c r="P23" s="7">
        <v>23</v>
      </c>
      <c r="Q23" s="7">
        <v>23</v>
      </c>
      <c r="R23" s="7">
        <v>23</v>
      </c>
    </row>
    <row r="24" spans="2:18" x14ac:dyDescent="0.25">
      <c r="B24" s="2" t="s">
        <v>86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51">
        <v>0</v>
      </c>
      <c r="O24" s="7">
        <v>0</v>
      </c>
      <c r="P24" s="7">
        <v>0</v>
      </c>
      <c r="Q24" s="7">
        <v>0</v>
      </c>
      <c r="R24" s="7">
        <v>0</v>
      </c>
    </row>
    <row r="25" spans="2:18" x14ac:dyDescent="0.25">
      <c r="B25" s="50" t="s">
        <v>181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51">
        <v>0</v>
      </c>
      <c r="O25" s="7">
        <v>3500</v>
      </c>
      <c r="P25" s="7">
        <v>2470</v>
      </c>
      <c r="Q25" s="7">
        <v>2530</v>
      </c>
      <c r="R25" s="7">
        <v>2749</v>
      </c>
    </row>
    <row r="26" spans="2:18" x14ac:dyDescent="0.25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51">
        <v>256</v>
      </c>
      <c r="O26" s="7">
        <v>162</v>
      </c>
      <c r="P26" s="7">
        <v>534</v>
      </c>
      <c r="Q26" s="7">
        <v>612</v>
      </c>
      <c r="R26" s="7">
        <v>337</v>
      </c>
    </row>
    <row r="27" spans="2:18" x14ac:dyDescent="0.25">
      <c r="B27" s="2" t="s">
        <v>189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51">
        <v>744</v>
      </c>
      <c r="O27" s="7">
        <v>777</v>
      </c>
      <c r="P27" s="7">
        <v>744</v>
      </c>
      <c r="Q27" s="7">
        <v>764</v>
      </c>
      <c r="R27" s="7">
        <v>655</v>
      </c>
    </row>
    <row r="28" spans="2:18" x14ac:dyDescent="0.25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51">
        <v>2731</v>
      </c>
      <c r="O28" s="7">
        <v>3284</v>
      </c>
      <c r="P28" s="7">
        <v>3366</v>
      </c>
      <c r="Q28" s="7">
        <v>3210</v>
      </c>
      <c r="R28" s="7">
        <v>3477</v>
      </c>
    </row>
    <row r="29" spans="2:18" x14ac:dyDescent="0.25">
      <c r="B29" s="2" t="s">
        <v>14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51">
        <v>271</v>
      </c>
      <c r="O29" s="7">
        <v>268</v>
      </c>
      <c r="P29" s="7">
        <v>288</v>
      </c>
      <c r="Q29" s="7">
        <v>379</v>
      </c>
      <c r="R29" s="7">
        <v>229</v>
      </c>
    </row>
    <row r="30" spans="2:18" x14ac:dyDescent="0.25">
      <c r="B30" s="2" t="s">
        <v>15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51">
        <v>4079</v>
      </c>
      <c r="O30" s="7">
        <v>2907</v>
      </c>
      <c r="P30" s="7">
        <v>2886</v>
      </c>
      <c r="Q30" s="7">
        <v>3181</v>
      </c>
      <c r="R30" s="7">
        <v>3341</v>
      </c>
    </row>
    <row r="31" spans="2:18" x14ac:dyDescent="0.25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51">
        <v>755</v>
      </c>
      <c r="O31" s="7">
        <v>387</v>
      </c>
      <c r="P31" s="7">
        <v>352</v>
      </c>
      <c r="Q31" s="7">
        <v>363</v>
      </c>
      <c r="R31" s="7">
        <v>345</v>
      </c>
    </row>
    <row r="32" spans="2:18" x14ac:dyDescent="0.25">
      <c r="B32" s="2" t="s">
        <v>9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51">
        <v>0</v>
      </c>
      <c r="O32" s="7">
        <v>0</v>
      </c>
      <c r="P32" s="7">
        <v>0</v>
      </c>
      <c r="Q32" s="7">
        <v>17</v>
      </c>
      <c r="R32" s="7">
        <v>29</v>
      </c>
    </row>
    <row r="33" spans="2:18" x14ac:dyDescent="0.25">
      <c r="B33" s="2" t="s">
        <v>10</v>
      </c>
      <c r="C33" s="8">
        <v>648</v>
      </c>
      <c r="D33" s="8">
        <v>748</v>
      </c>
      <c r="E33" s="8">
        <v>784</v>
      </c>
      <c r="F33" s="8">
        <v>858</v>
      </c>
      <c r="G33" s="8">
        <v>697</v>
      </c>
      <c r="H33" s="8">
        <v>883</v>
      </c>
      <c r="I33" s="8">
        <v>734</v>
      </c>
      <c r="J33" s="8">
        <v>667</v>
      </c>
      <c r="K33" s="8">
        <v>738</v>
      </c>
      <c r="L33" s="8">
        <v>746</v>
      </c>
      <c r="M33" s="8">
        <v>671</v>
      </c>
      <c r="N33" s="62">
        <v>685</v>
      </c>
      <c r="O33" s="8">
        <v>799</v>
      </c>
      <c r="P33" s="8">
        <v>792</v>
      </c>
      <c r="Q33" s="8">
        <v>842</v>
      </c>
      <c r="R33" s="8">
        <v>726</v>
      </c>
    </row>
    <row r="34" spans="2:18" s="16" customFormat="1" x14ac:dyDescent="0.25">
      <c r="B34" s="1"/>
      <c r="C34" s="13">
        <f t="shared" ref="C34:O34" si="6">SUM(C23:C33)</f>
        <v>8469</v>
      </c>
      <c r="D34" s="13">
        <f t="shared" si="6"/>
        <v>8258</v>
      </c>
      <c r="E34" s="13">
        <f t="shared" si="6"/>
        <v>8311</v>
      </c>
      <c r="F34" s="13">
        <f t="shared" si="6"/>
        <v>8096</v>
      </c>
      <c r="G34" s="13">
        <f t="shared" si="6"/>
        <v>7682</v>
      </c>
      <c r="H34" s="13">
        <f t="shared" si="6"/>
        <v>8259</v>
      </c>
      <c r="I34" s="13">
        <f t="shared" si="6"/>
        <v>7721</v>
      </c>
      <c r="J34" s="13">
        <f t="shared" si="6"/>
        <v>7755</v>
      </c>
      <c r="K34" s="13">
        <f t="shared" si="6"/>
        <v>7900</v>
      </c>
      <c r="L34" s="13">
        <f t="shared" si="6"/>
        <v>9386</v>
      </c>
      <c r="M34" s="13">
        <f t="shared" si="6"/>
        <v>9566</v>
      </c>
      <c r="N34" s="59">
        <f t="shared" si="6"/>
        <v>9544</v>
      </c>
      <c r="O34" s="13">
        <f t="shared" si="6"/>
        <v>12107</v>
      </c>
      <c r="P34" s="13">
        <f t="shared" ref="P34:Q34" si="7">SUM(P23:P33)</f>
        <v>11455</v>
      </c>
      <c r="Q34" s="13">
        <f t="shared" si="7"/>
        <v>11921</v>
      </c>
      <c r="R34" s="13">
        <f t="shared" ref="R34" si="8">SUM(R23:R33)</f>
        <v>11911</v>
      </c>
    </row>
    <row r="35" spans="2:18" x14ac:dyDescent="0.25"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55"/>
      <c r="O35" s="9"/>
      <c r="P35" s="9"/>
      <c r="Q35" s="9"/>
      <c r="R35" s="9"/>
    </row>
    <row r="36" spans="2:18" x14ac:dyDescent="0.25">
      <c r="B36" s="2" t="s">
        <v>17</v>
      </c>
      <c r="C36" s="7">
        <v>13063</v>
      </c>
      <c r="D36" s="7">
        <v>12851</v>
      </c>
      <c r="E36" s="7">
        <v>13062</v>
      </c>
      <c r="F36" s="7">
        <v>12949</v>
      </c>
      <c r="G36" s="7">
        <v>13059</v>
      </c>
      <c r="H36" s="7">
        <v>13446</v>
      </c>
      <c r="I36" s="7">
        <v>13575</v>
      </c>
      <c r="J36" s="7">
        <v>13372</v>
      </c>
      <c r="K36" s="7">
        <v>9076</v>
      </c>
      <c r="L36" s="7">
        <v>10105</v>
      </c>
      <c r="M36" s="7">
        <v>10105</v>
      </c>
      <c r="N36" s="51">
        <v>11310</v>
      </c>
      <c r="O36" s="7">
        <v>11102</v>
      </c>
      <c r="P36" s="7">
        <v>11095</v>
      </c>
      <c r="Q36" s="7">
        <v>11347</v>
      </c>
      <c r="R36" s="7">
        <v>11720</v>
      </c>
    </row>
    <row r="37" spans="2:18" x14ac:dyDescent="0.25">
      <c r="B37" s="2" t="s">
        <v>18</v>
      </c>
      <c r="C37" s="7">
        <v>28524</v>
      </c>
      <c r="D37" s="7">
        <v>27545</v>
      </c>
      <c r="E37" s="7">
        <v>27845</v>
      </c>
      <c r="F37" s="7">
        <v>25091</v>
      </c>
      <c r="G37" s="7">
        <v>24903</v>
      </c>
      <c r="H37" s="7">
        <v>25438</v>
      </c>
      <c r="I37" s="7">
        <v>25161</v>
      </c>
      <c r="J37" s="7">
        <v>25855</v>
      </c>
      <c r="K37" s="7">
        <v>25810</v>
      </c>
      <c r="L37" s="7">
        <v>25629</v>
      </c>
      <c r="M37" s="7">
        <v>26119</v>
      </c>
      <c r="N37" s="51">
        <v>26213</v>
      </c>
      <c r="O37" s="7">
        <v>26058</v>
      </c>
      <c r="P37" s="7">
        <v>26030</v>
      </c>
      <c r="Q37" s="7">
        <v>26681</v>
      </c>
      <c r="R37" s="7">
        <v>27148</v>
      </c>
    </row>
    <row r="38" spans="2:18" x14ac:dyDescent="0.25">
      <c r="B38" s="2" t="s">
        <v>19</v>
      </c>
      <c r="C38" s="7">
        <v>14671</v>
      </c>
      <c r="D38" s="7">
        <v>13482</v>
      </c>
      <c r="E38" s="7">
        <v>13424</v>
      </c>
      <c r="F38" s="7">
        <v>13013</v>
      </c>
      <c r="G38" s="7">
        <v>12577</v>
      </c>
      <c r="H38" s="7">
        <v>13047</v>
      </c>
      <c r="I38" s="7">
        <v>12067</v>
      </c>
      <c r="J38" s="7">
        <v>12443</v>
      </c>
      <c r="K38" s="7">
        <v>12379</v>
      </c>
      <c r="L38" s="7">
        <v>13764</v>
      </c>
      <c r="M38" s="7">
        <v>13852</v>
      </c>
      <c r="N38" s="51">
        <v>13492</v>
      </c>
      <c r="O38" s="7">
        <v>13315</v>
      </c>
      <c r="P38" s="7">
        <v>13030</v>
      </c>
      <c r="Q38" s="7">
        <v>13367</v>
      </c>
      <c r="R38" s="7">
        <v>13283</v>
      </c>
    </row>
    <row r="39" spans="2:18" x14ac:dyDescent="0.25">
      <c r="B39" s="50" t="s">
        <v>182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51">
        <v>0</v>
      </c>
      <c r="O39" s="7">
        <v>784</v>
      </c>
      <c r="P39" s="7">
        <v>756</v>
      </c>
      <c r="Q39" s="7">
        <v>884</v>
      </c>
      <c r="R39" s="7">
        <v>813</v>
      </c>
    </row>
    <row r="40" spans="2:18" x14ac:dyDescent="0.25">
      <c r="B40" s="2" t="s">
        <v>20</v>
      </c>
      <c r="C40" s="8">
        <v>135</v>
      </c>
      <c r="D40" s="8">
        <v>132</v>
      </c>
      <c r="E40" s="8">
        <v>132</v>
      </c>
      <c r="F40" s="8">
        <v>66</v>
      </c>
      <c r="G40" s="8">
        <v>66</v>
      </c>
      <c r="H40" s="8">
        <v>64</v>
      </c>
      <c r="I40" s="8">
        <v>68</v>
      </c>
      <c r="J40" s="8">
        <v>65</v>
      </c>
      <c r="K40" s="8">
        <v>65</v>
      </c>
      <c r="L40" s="8">
        <v>66</v>
      </c>
      <c r="M40" s="8">
        <v>66</v>
      </c>
      <c r="N40" s="62">
        <v>74</v>
      </c>
      <c r="O40" s="8">
        <v>75</v>
      </c>
      <c r="P40" s="8">
        <v>75</v>
      </c>
      <c r="Q40" s="8">
        <v>75</v>
      </c>
      <c r="R40" s="8">
        <v>85</v>
      </c>
    </row>
    <row r="41" spans="2:18" s="16" customFormat="1" x14ac:dyDescent="0.25">
      <c r="B41" s="1"/>
      <c r="C41" s="14">
        <f t="shared" ref="C41:O41" si="9">SUM(C34:C40)</f>
        <v>64862</v>
      </c>
      <c r="D41" s="14">
        <f t="shared" si="9"/>
        <v>62268</v>
      </c>
      <c r="E41" s="14">
        <f t="shared" si="9"/>
        <v>62774</v>
      </c>
      <c r="F41" s="14">
        <f t="shared" si="9"/>
        <v>59215</v>
      </c>
      <c r="G41" s="14">
        <f t="shared" si="9"/>
        <v>58287</v>
      </c>
      <c r="H41" s="14">
        <f t="shared" si="9"/>
        <v>60254</v>
      </c>
      <c r="I41" s="14">
        <f t="shared" si="9"/>
        <v>58592</v>
      </c>
      <c r="J41" s="14">
        <f t="shared" si="9"/>
        <v>59490</v>
      </c>
      <c r="K41" s="14">
        <f t="shared" si="9"/>
        <v>55230</v>
      </c>
      <c r="L41" s="14">
        <f t="shared" si="9"/>
        <v>58950</v>
      </c>
      <c r="M41" s="14">
        <f t="shared" si="9"/>
        <v>59708</v>
      </c>
      <c r="N41" s="56">
        <f t="shared" si="9"/>
        <v>60633</v>
      </c>
      <c r="O41" s="14">
        <f t="shared" si="9"/>
        <v>63441</v>
      </c>
      <c r="P41" s="14">
        <f t="shared" ref="P41:Q41" si="10">SUM(P34:P40)</f>
        <v>62441</v>
      </c>
      <c r="Q41" s="14">
        <f t="shared" si="10"/>
        <v>64275</v>
      </c>
      <c r="R41" s="14">
        <f t="shared" ref="R41" si="11">SUM(R34:R40)</f>
        <v>64960</v>
      </c>
    </row>
    <row r="42" spans="2:18" x14ac:dyDescent="0.25"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51"/>
      <c r="O42" s="7"/>
      <c r="P42" s="7"/>
      <c r="Q42" s="7"/>
      <c r="R42" s="7"/>
    </row>
    <row r="43" spans="2:18" s="16" customFormat="1" ht="15.75" thickBot="1" x14ac:dyDescent="0.3">
      <c r="B43" s="1" t="s">
        <v>21</v>
      </c>
      <c r="C43" s="15">
        <f t="shared" ref="C43:O43" si="12">C20+C41</f>
        <v>82867</v>
      </c>
      <c r="D43" s="15">
        <f t="shared" si="12"/>
        <v>79155</v>
      </c>
      <c r="E43" s="15">
        <f t="shared" si="12"/>
        <v>80158</v>
      </c>
      <c r="F43" s="15">
        <f t="shared" si="12"/>
        <v>79598</v>
      </c>
      <c r="G43" s="15">
        <f t="shared" si="12"/>
        <v>77513</v>
      </c>
      <c r="H43" s="15">
        <f t="shared" si="12"/>
        <v>80688</v>
      </c>
      <c r="I43" s="15">
        <f t="shared" si="12"/>
        <v>79431</v>
      </c>
      <c r="J43" s="15">
        <f t="shared" si="12"/>
        <v>82669</v>
      </c>
      <c r="K43" s="15">
        <f t="shared" si="12"/>
        <v>80567</v>
      </c>
      <c r="L43" s="15">
        <f t="shared" si="12"/>
        <v>82578</v>
      </c>
      <c r="M43" s="15">
        <f t="shared" si="12"/>
        <v>84121</v>
      </c>
      <c r="N43" s="58">
        <f t="shared" si="12"/>
        <v>85046</v>
      </c>
      <c r="O43" s="15">
        <f t="shared" si="12"/>
        <v>83517</v>
      </c>
      <c r="P43" s="15">
        <f t="shared" ref="P43:Q43" si="13">P20+P41</f>
        <v>82152</v>
      </c>
      <c r="Q43" s="15">
        <f t="shared" si="13"/>
        <v>83937</v>
      </c>
      <c r="R43" s="15">
        <f t="shared" ref="R43" si="14">R20+R41</f>
        <v>84723</v>
      </c>
    </row>
    <row r="44" spans="2:18" ht="15.75" thickTop="1" x14ac:dyDescent="0.25"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51"/>
      <c r="O44" s="7"/>
      <c r="P44" s="7"/>
      <c r="Q44" s="7"/>
      <c r="R44" s="7"/>
    </row>
    <row r="45" spans="2:18" ht="15.75" x14ac:dyDescent="0.25">
      <c r="B45" s="5" t="s">
        <v>22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R45" s="7"/>
    </row>
    <row r="46" spans="2:18" x14ac:dyDescent="0.25">
      <c r="B46" s="1" t="s">
        <v>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R46" s="7"/>
    </row>
    <row r="47" spans="2:18" x14ac:dyDescent="0.25">
      <c r="B47" s="2" t="s">
        <v>23</v>
      </c>
      <c r="C47" s="7">
        <v>2447</v>
      </c>
      <c r="D47" s="7">
        <v>1942</v>
      </c>
      <c r="E47" s="7">
        <v>1483</v>
      </c>
      <c r="F47" s="7">
        <v>1772</v>
      </c>
      <c r="G47" s="7">
        <v>1721</v>
      </c>
      <c r="H47" s="7">
        <v>1845</v>
      </c>
      <c r="I47" s="7">
        <v>2156</v>
      </c>
      <c r="J47" s="7">
        <v>2573</v>
      </c>
      <c r="K47" s="7">
        <v>2197</v>
      </c>
      <c r="L47" s="7">
        <v>1232</v>
      </c>
      <c r="M47" s="7">
        <v>2593</v>
      </c>
      <c r="N47" s="51">
        <v>5291</v>
      </c>
      <c r="O47" s="7">
        <v>1672</v>
      </c>
      <c r="P47" s="7">
        <v>1278</v>
      </c>
      <c r="Q47" s="7">
        <v>774</v>
      </c>
      <c r="R47" s="7">
        <v>954</v>
      </c>
    </row>
    <row r="48" spans="2:18" x14ac:dyDescent="0.25">
      <c r="B48" s="50" t="s">
        <v>183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51">
        <v>0</v>
      </c>
      <c r="O48" s="7">
        <v>250</v>
      </c>
      <c r="P48" s="7">
        <v>196</v>
      </c>
      <c r="Q48" s="7">
        <v>229</v>
      </c>
      <c r="R48" s="7">
        <v>210</v>
      </c>
    </row>
    <row r="49" spans="2:18" x14ac:dyDescent="0.25">
      <c r="B49" s="2" t="s">
        <v>4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51">
        <v>166</v>
      </c>
      <c r="O49" s="7">
        <v>102</v>
      </c>
      <c r="P49" s="7">
        <v>53</v>
      </c>
      <c r="Q49" s="7">
        <v>99</v>
      </c>
      <c r="R49" s="7">
        <v>69</v>
      </c>
    </row>
    <row r="50" spans="2:18" x14ac:dyDescent="0.25">
      <c r="B50" s="2" t="s">
        <v>24</v>
      </c>
      <c r="C50" s="7">
        <v>966</v>
      </c>
      <c r="D50" s="7">
        <v>784</v>
      </c>
      <c r="E50" s="7">
        <v>914</v>
      </c>
      <c r="F50" s="7">
        <v>968</v>
      </c>
      <c r="G50" s="7">
        <v>1009</v>
      </c>
      <c r="H50" s="7">
        <v>899</v>
      </c>
      <c r="I50" s="7">
        <v>769</v>
      </c>
      <c r="J50" s="7">
        <v>1070</v>
      </c>
      <c r="K50" s="7">
        <v>1253</v>
      </c>
      <c r="L50" s="7">
        <v>990</v>
      </c>
      <c r="M50" s="7">
        <v>1029</v>
      </c>
      <c r="N50" s="51">
        <v>1312</v>
      </c>
      <c r="O50" s="7">
        <v>989</v>
      </c>
      <c r="P50" s="7">
        <v>1177</v>
      </c>
      <c r="Q50" s="7">
        <v>1397</v>
      </c>
      <c r="R50" s="7">
        <v>1415</v>
      </c>
    </row>
    <row r="51" spans="2:18" x14ac:dyDescent="0.25">
      <c r="B51" s="2" t="s">
        <v>25</v>
      </c>
      <c r="C51" s="7">
        <v>2989</v>
      </c>
      <c r="D51" s="7">
        <v>2879</v>
      </c>
      <c r="E51" s="7">
        <v>2727</v>
      </c>
      <c r="F51" s="7">
        <v>2726</v>
      </c>
      <c r="G51" s="7">
        <v>2307</v>
      </c>
      <c r="H51" s="7">
        <v>2806</v>
      </c>
      <c r="I51" s="7">
        <v>2819</v>
      </c>
      <c r="J51" s="7">
        <v>3353</v>
      </c>
      <c r="K51" s="7">
        <v>3170</v>
      </c>
      <c r="L51" s="7">
        <v>3963</v>
      </c>
      <c r="M51" s="7">
        <v>4156</v>
      </c>
      <c r="N51" s="51">
        <v>4137</v>
      </c>
      <c r="O51" s="7">
        <v>3618</v>
      </c>
      <c r="P51" s="7">
        <v>3748</v>
      </c>
      <c r="Q51" s="7">
        <v>3919</v>
      </c>
      <c r="R51" s="7">
        <v>4429</v>
      </c>
    </row>
    <row r="52" spans="2:18" x14ac:dyDescent="0.25">
      <c r="B52" s="2" t="s">
        <v>26</v>
      </c>
      <c r="C52" s="7">
        <v>663</v>
      </c>
      <c r="D52" s="7">
        <v>727</v>
      </c>
      <c r="E52" s="7">
        <v>863</v>
      </c>
      <c r="F52" s="7">
        <v>848</v>
      </c>
      <c r="G52" s="7">
        <v>539</v>
      </c>
      <c r="H52" s="7">
        <v>663</v>
      </c>
      <c r="I52" s="7">
        <v>810</v>
      </c>
      <c r="J52" s="7">
        <v>895</v>
      </c>
      <c r="K52" s="7">
        <v>555</v>
      </c>
      <c r="L52" s="7">
        <v>742</v>
      </c>
      <c r="M52" s="7">
        <v>887</v>
      </c>
      <c r="N52" s="51">
        <v>845</v>
      </c>
      <c r="O52" s="7">
        <v>587</v>
      </c>
      <c r="P52" s="7">
        <v>701</v>
      </c>
      <c r="Q52" s="7">
        <v>839</v>
      </c>
      <c r="R52" s="7">
        <v>836</v>
      </c>
    </row>
    <row r="53" spans="2:18" x14ac:dyDescent="0.25">
      <c r="B53" s="2" t="s">
        <v>27</v>
      </c>
      <c r="C53" s="7">
        <v>427</v>
      </c>
      <c r="D53" s="7">
        <v>448</v>
      </c>
      <c r="E53" s="7">
        <v>472</v>
      </c>
      <c r="F53" s="7">
        <v>422</v>
      </c>
      <c r="G53" s="7">
        <v>445</v>
      </c>
      <c r="H53" s="7">
        <v>465</v>
      </c>
      <c r="I53" s="7">
        <v>535</v>
      </c>
      <c r="J53" s="7">
        <v>617</v>
      </c>
      <c r="K53" s="7">
        <v>411</v>
      </c>
      <c r="L53" s="7">
        <v>465</v>
      </c>
      <c r="M53" s="7">
        <v>535</v>
      </c>
      <c r="N53" s="51">
        <v>490</v>
      </c>
      <c r="O53" s="7">
        <v>499</v>
      </c>
      <c r="P53" s="7">
        <v>509</v>
      </c>
      <c r="Q53" s="7">
        <v>559</v>
      </c>
      <c r="R53" s="7">
        <v>424</v>
      </c>
    </row>
    <row r="54" spans="2:18" x14ac:dyDescent="0.25">
      <c r="B54" s="2" t="s">
        <v>28</v>
      </c>
      <c r="C54" s="7">
        <v>222</v>
      </c>
      <c r="D54" s="7">
        <v>179</v>
      </c>
      <c r="E54" s="7">
        <v>179</v>
      </c>
      <c r="F54" s="7">
        <v>174</v>
      </c>
      <c r="G54" s="7">
        <v>186</v>
      </c>
      <c r="H54" s="7">
        <v>179</v>
      </c>
      <c r="I54" s="7">
        <v>190</v>
      </c>
      <c r="J54" s="7">
        <v>408</v>
      </c>
      <c r="K54" s="7">
        <v>395</v>
      </c>
      <c r="L54" s="7">
        <v>236</v>
      </c>
      <c r="M54" s="7">
        <v>231</v>
      </c>
      <c r="N54" s="51">
        <v>128</v>
      </c>
      <c r="O54" s="7">
        <v>132</v>
      </c>
      <c r="P54" s="7">
        <v>121</v>
      </c>
      <c r="Q54" s="7">
        <v>139</v>
      </c>
      <c r="R54" s="7">
        <v>102</v>
      </c>
    </row>
    <row r="55" spans="2:18" x14ac:dyDescent="0.25">
      <c r="B55" s="2" t="s">
        <v>29</v>
      </c>
      <c r="C55" s="7">
        <v>197</v>
      </c>
      <c r="D55" s="7">
        <v>59</v>
      </c>
      <c r="E55" s="7">
        <v>54</v>
      </c>
      <c r="F55" s="7">
        <v>48</v>
      </c>
      <c r="G55" s="7">
        <v>57</v>
      </c>
      <c r="H55" s="7">
        <v>51</v>
      </c>
      <c r="I55" s="7">
        <v>238</v>
      </c>
      <c r="J55" s="7">
        <v>188</v>
      </c>
      <c r="K55" s="7">
        <v>680</v>
      </c>
      <c r="L55" s="7">
        <v>63</v>
      </c>
      <c r="M55" s="7">
        <v>51</v>
      </c>
      <c r="N55" s="51">
        <v>482</v>
      </c>
      <c r="O55" s="7">
        <v>511</v>
      </c>
      <c r="P55" s="7">
        <v>529</v>
      </c>
      <c r="Q55" s="7">
        <v>48</v>
      </c>
      <c r="R55" s="7">
        <v>120</v>
      </c>
    </row>
    <row r="56" spans="2:18" x14ac:dyDescent="0.25">
      <c r="B56" s="2" t="s">
        <v>30</v>
      </c>
      <c r="C56" s="7">
        <v>62</v>
      </c>
      <c r="D56" s="7">
        <v>63</v>
      </c>
      <c r="E56" s="7">
        <v>64</v>
      </c>
      <c r="F56" s="7">
        <v>67</v>
      </c>
      <c r="G56" s="7">
        <v>68</v>
      </c>
      <c r="H56" s="7">
        <v>69</v>
      </c>
      <c r="I56" s="7">
        <v>67</v>
      </c>
      <c r="J56" s="7">
        <v>76</v>
      </c>
      <c r="K56" s="7">
        <v>76</v>
      </c>
      <c r="L56" s="7">
        <v>77</v>
      </c>
      <c r="M56" s="7">
        <v>78</v>
      </c>
      <c r="N56" s="51">
        <v>83</v>
      </c>
      <c r="O56" s="7">
        <v>82</v>
      </c>
      <c r="P56" s="7">
        <v>83</v>
      </c>
      <c r="Q56" s="7">
        <v>83</v>
      </c>
      <c r="R56" s="7">
        <v>87</v>
      </c>
    </row>
    <row r="57" spans="2:18" x14ac:dyDescent="0.25">
      <c r="B57" s="2" t="s">
        <v>9</v>
      </c>
      <c r="C57" s="7">
        <v>0</v>
      </c>
      <c r="D57" s="7">
        <v>8</v>
      </c>
      <c r="E57" s="7">
        <v>8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1</v>
      </c>
      <c r="L57" s="7">
        <v>5</v>
      </c>
      <c r="M57" s="7">
        <v>8</v>
      </c>
      <c r="N57" s="51">
        <v>19</v>
      </c>
      <c r="O57" s="7">
        <v>0</v>
      </c>
      <c r="P57" s="7">
        <v>11</v>
      </c>
      <c r="Q57" s="7">
        <v>19</v>
      </c>
      <c r="R57" s="7">
        <v>81</v>
      </c>
    </row>
    <row r="58" spans="2:18" x14ac:dyDescent="0.25">
      <c r="B58" s="2" t="s">
        <v>31</v>
      </c>
      <c r="C58" s="7">
        <v>0</v>
      </c>
      <c r="D58" s="7">
        <v>0</v>
      </c>
      <c r="E58" s="7">
        <v>249</v>
      </c>
      <c r="F58" s="7">
        <v>244</v>
      </c>
      <c r="G58" s="7">
        <v>244</v>
      </c>
      <c r="H58" s="7">
        <v>243</v>
      </c>
      <c r="I58" s="7">
        <v>242</v>
      </c>
      <c r="J58" s="7">
        <v>246</v>
      </c>
      <c r="K58" s="7">
        <v>247</v>
      </c>
      <c r="L58" s="7">
        <v>245</v>
      </c>
      <c r="M58" s="7">
        <v>251</v>
      </c>
      <c r="N58" s="51">
        <v>242</v>
      </c>
      <c r="O58" s="7">
        <v>211</v>
      </c>
      <c r="P58" s="7">
        <v>150</v>
      </c>
      <c r="Q58" s="7">
        <v>89</v>
      </c>
      <c r="R58" s="7">
        <v>32</v>
      </c>
    </row>
    <row r="59" spans="2:18" x14ac:dyDescent="0.25">
      <c r="B59" s="2" t="s">
        <v>32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97</v>
      </c>
      <c r="J59" s="7">
        <v>104</v>
      </c>
      <c r="K59" s="7">
        <v>92</v>
      </c>
      <c r="L59" s="7">
        <v>116</v>
      </c>
      <c r="M59" s="7">
        <v>124</v>
      </c>
      <c r="N59" s="51">
        <v>124</v>
      </c>
      <c r="O59" s="7">
        <v>117</v>
      </c>
      <c r="P59" s="7">
        <v>118</v>
      </c>
      <c r="Q59" s="7">
        <v>108</v>
      </c>
      <c r="R59" s="7">
        <v>106</v>
      </c>
    </row>
    <row r="60" spans="2:18" x14ac:dyDescent="0.25">
      <c r="B60" s="2" t="s">
        <v>33</v>
      </c>
      <c r="C60" s="8">
        <v>799</v>
      </c>
      <c r="D60" s="8">
        <v>886</v>
      </c>
      <c r="E60" s="8">
        <v>587</v>
      </c>
      <c r="F60" s="8">
        <v>795</v>
      </c>
      <c r="G60" s="8">
        <v>647</v>
      </c>
      <c r="H60" s="8">
        <v>686</v>
      </c>
      <c r="I60" s="8">
        <v>573</v>
      </c>
      <c r="J60" s="8">
        <v>643</v>
      </c>
      <c r="K60" s="8">
        <v>641</v>
      </c>
      <c r="L60" s="8">
        <v>681</v>
      </c>
      <c r="M60" s="8">
        <v>737</v>
      </c>
      <c r="N60" s="62">
        <v>808</v>
      </c>
      <c r="O60" s="8">
        <v>741</v>
      </c>
      <c r="P60" s="8">
        <v>788</v>
      </c>
      <c r="Q60" s="8">
        <v>849</v>
      </c>
      <c r="R60" s="8">
        <v>838</v>
      </c>
    </row>
    <row r="61" spans="2:18" s="16" customFormat="1" x14ac:dyDescent="0.25">
      <c r="B61" s="1"/>
      <c r="C61" s="13">
        <f t="shared" ref="C61:O61" si="15">SUM(C47:C60)</f>
        <v>9187</v>
      </c>
      <c r="D61" s="13">
        <f t="shared" si="15"/>
        <v>8495</v>
      </c>
      <c r="E61" s="13">
        <f t="shared" si="15"/>
        <v>8095</v>
      </c>
      <c r="F61" s="13">
        <f t="shared" si="15"/>
        <v>8465</v>
      </c>
      <c r="G61" s="13">
        <f t="shared" si="15"/>
        <v>7707</v>
      </c>
      <c r="H61" s="13">
        <f t="shared" si="15"/>
        <v>8313</v>
      </c>
      <c r="I61" s="13">
        <f t="shared" si="15"/>
        <v>8881</v>
      </c>
      <c r="J61" s="13">
        <f t="shared" si="15"/>
        <v>10473</v>
      </c>
      <c r="K61" s="13">
        <f t="shared" si="15"/>
        <v>9768</v>
      </c>
      <c r="L61" s="13">
        <f t="shared" si="15"/>
        <v>9067</v>
      </c>
      <c r="M61" s="13">
        <f t="shared" si="15"/>
        <v>10958</v>
      </c>
      <c r="N61" s="59">
        <f t="shared" si="15"/>
        <v>14127</v>
      </c>
      <c r="O61" s="13">
        <f t="shared" si="15"/>
        <v>9511</v>
      </c>
      <c r="P61" s="13">
        <f t="shared" ref="P61:Q61" si="16">SUM(P47:P60)</f>
        <v>9462</v>
      </c>
      <c r="Q61" s="13">
        <f t="shared" si="16"/>
        <v>9151</v>
      </c>
      <c r="R61" s="13">
        <f t="shared" ref="R61" si="17">SUM(R47:R60)</f>
        <v>9703</v>
      </c>
    </row>
    <row r="62" spans="2:18" x14ac:dyDescent="0.25">
      <c r="B62" s="2" t="s">
        <v>34</v>
      </c>
      <c r="C62" s="8">
        <v>0</v>
      </c>
      <c r="D62" s="8">
        <v>0</v>
      </c>
      <c r="E62" s="8">
        <v>0</v>
      </c>
      <c r="F62" s="7">
        <v>1522</v>
      </c>
      <c r="G62" s="7">
        <v>1522</v>
      </c>
      <c r="H62" s="7">
        <v>1522</v>
      </c>
      <c r="I62" s="7">
        <v>1606</v>
      </c>
      <c r="J62" s="7">
        <v>1526</v>
      </c>
      <c r="K62" s="7">
        <v>1526</v>
      </c>
      <c r="L62" s="7">
        <v>3</v>
      </c>
      <c r="M62" s="7">
        <v>3</v>
      </c>
      <c r="N62" s="51">
        <v>108</v>
      </c>
      <c r="O62" s="7">
        <v>119</v>
      </c>
      <c r="P62" s="7">
        <v>0</v>
      </c>
      <c r="Q62" s="7">
        <v>2</v>
      </c>
      <c r="R62" s="7">
        <v>2</v>
      </c>
    </row>
    <row r="63" spans="2:18" s="16" customFormat="1" x14ac:dyDescent="0.25">
      <c r="B63" s="1"/>
      <c r="C63" s="14">
        <f t="shared" ref="C63:O63" si="18">SUM(C61:C62)</f>
        <v>9187</v>
      </c>
      <c r="D63" s="14">
        <f t="shared" si="18"/>
        <v>8495</v>
      </c>
      <c r="E63" s="14">
        <f t="shared" si="18"/>
        <v>8095</v>
      </c>
      <c r="F63" s="14">
        <f t="shared" si="18"/>
        <v>9987</v>
      </c>
      <c r="G63" s="14">
        <f t="shared" si="18"/>
        <v>9229</v>
      </c>
      <c r="H63" s="14">
        <f t="shared" si="18"/>
        <v>9835</v>
      </c>
      <c r="I63" s="14">
        <f t="shared" si="18"/>
        <v>10487</v>
      </c>
      <c r="J63" s="14">
        <f t="shared" si="18"/>
        <v>11999</v>
      </c>
      <c r="K63" s="14">
        <f t="shared" si="18"/>
        <v>11294</v>
      </c>
      <c r="L63" s="14">
        <f t="shared" si="18"/>
        <v>9070</v>
      </c>
      <c r="M63" s="14">
        <f t="shared" si="18"/>
        <v>10961</v>
      </c>
      <c r="N63" s="56">
        <f t="shared" si="18"/>
        <v>14235</v>
      </c>
      <c r="O63" s="14">
        <f t="shared" si="18"/>
        <v>9630</v>
      </c>
      <c r="P63" s="14">
        <f t="shared" ref="P63:Q63" si="19">SUM(P61:P62)</f>
        <v>9462</v>
      </c>
      <c r="Q63" s="14">
        <f t="shared" si="19"/>
        <v>9153</v>
      </c>
      <c r="R63" s="14">
        <f t="shared" ref="R63" si="20">SUM(R61:R62)</f>
        <v>9705</v>
      </c>
    </row>
    <row r="64" spans="2:18" x14ac:dyDescent="0.25">
      <c r="B64" s="1" t="s">
        <v>12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51"/>
      <c r="O64" s="7"/>
      <c r="P64" s="7"/>
      <c r="Q64" s="7"/>
      <c r="R64" s="7"/>
    </row>
    <row r="65" spans="2:18" x14ac:dyDescent="0.25">
      <c r="B65" s="2" t="s">
        <v>23</v>
      </c>
      <c r="C65" s="7">
        <v>24614</v>
      </c>
      <c r="D65" s="7">
        <v>22666</v>
      </c>
      <c r="E65" s="7">
        <v>23712</v>
      </c>
      <c r="F65" s="7">
        <v>22631</v>
      </c>
      <c r="G65" s="7">
        <v>22511</v>
      </c>
      <c r="H65" s="7">
        <v>23956</v>
      </c>
      <c r="I65" s="7">
        <v>22757</v>
      </c>
      <c r="J65" s="7">
        <v>22057</v>
      </c>
      <c r="K65" s="7">
        <v>21277</v>
      </c>
      <c r="L65" s="7">
        <v>23504</v>
      </c>
      <c r="M65" s="7">
        <v>22760</v>
      </c>
      <c r="N65" s="51">
        <v>19160</v>
      </c>
      <c r="O65" s="7">
        <v>18604</v>
      </c>
      <c r="P65" s="7">
        <v>18193</v>
      </c>
      <c r="Q65" s="7">
        <v>19330</v>
      </c>
      <c r="R65" s="7">
        <v>18801</v>
      </c>
    </row>
    <row r="66" spans="2:18" x14ac:dyDescent="0.25">
      <c r="B66" s="50" t="s">
        <v>183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51">
        <v>0</v>
      </c>
      <c r="O66" s="7">
        <v>546</v>
      </c>
      <c r="P66" s="7">
        <v>583</v>
      </c>
      <c r="Q66" s="7">
        <v>682</v>
      </c>
      <c r="R66" s="7">
        <v>631</v>
      </c>
    </row>
    <row r="67" spans="2:18" x14ac:dyDescent="0.25">
      <c r="B67" s="2" t="s">
        <v>4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51">
        <v>78</v>
      </c>
      <c r="O67" s="7">
        <v>113</v>
      </c>
      <c r="P67" s="7">
        <v>572</v>
      </c>
      <c r="Q67" s="7">
        <v>703</v>
      </c>
      <c r="R67" s="7">
        <v>383</v>
      </c>
    </row>
    <row r="68" spans="2:18" x14ac:dyDescent="0.25">
      <c r="B68" s="2" t="s">
        <v>15</v>
      </c>
      <c r="C68" s="7">
        <v>2078</v>
      </c>
      <c r="D68" s="7">
        <v>1897</v>
      </c>
      <c r="E68" s="7">
        <v>2046</v>
      </c>
      <c r="F68" s="7">
        <v>1983</v>
      </c>
      <c r="G68" s="7">
        <v>1879</v>
      </c>
      <c r="H68" s="7">
        <v>2007</v>
      </c>
      <c r="I68" s="7">
        <v>1947</v>
      </c>
      <c r="J68" s="7">
        <v>1965</v>
      </c>
      <c r="K68" s="7">
        <v>1957</v>
      </c>
      <c r="L68" s="7">
        <v>2183</v>
      </c>
      <c r="M68" s="7">
        <v>2262</v>
      </c>
      <c r="N68" s="51">
        <v>2194</v>
      </c>
      <c r="O68" s="7">
        <v>2345</v>
      </c>
      <c r="P68" s="7">
        <v>1985</v>
      </c>
      <c r="Q68" s="7">
        <v>1981</v>
      </c>
      <c r="R68" s="7">
        <v>2087</v>
      </c>
    </row>
    <row r="69" spans="2:18" x14ac:dyDescent="0.25">
      <c r="B69" s="2" t="s">
        <v>14</v>
      </c>
      <c r="C69" s="7">
        <v>129</v>
      </c>
      <c r="D69" s="7">
        <v>129</v>
      </c>
      <c r="E69" s="7">
        <v>93</v>
      </c>
      <c r="F69" s="7">
        <v>22</v>
      </c>
      <c r="G69" s="7">
        <v>35</v>
      </c>
      <c r="H69" s="7">
        <v>25</v>
      </c>
      <c r="I69" s="7">
        <v>25</v>
      </c>
      <c r="J69" s="7">
        <v>25</v>
      </c>
      <c r="K69" s="7">
        <v>28</v>
      </c>
      <c r="L69" s="7">
        <v>21</v>
      </c>
      <c r="M69" s="7">
        <v>20</v>
      </c>
      <c r="N69" s="51">
        <v>136</v>
      </c>
      <c r="O69" s="7">
        <v>20</v>
      </c>
      <c r="P69" s="7">
        <v>37</v>
      </c>
      <c r="Q69" s="7">
        <v>22</v>
      </c>
      <c r="R69" s="7">
        <v>50</v>
      </c>
    </row>
    <row r="70" spans="2:18" x14ac:dyDescent="0.25">
      <c r="B70" s="2" t="s">
        <v>35</v>
      </c>
      <c r="C70" s="7">
        <v>2192</v>
      </c>
      <c r="D70" s="7">
        <v>2171</v>
      </c>
      <c r="E70" s="7">
        <v>2234</v>
      </c>
      <c r="F70" s="7">
        <v>2346</v>
      </c>
      <c r="G70" s="7">
        <v>2305</v>
      </c>
      <c r="H70" s="7">
        <v>2359</v>
      </c>
      <c r="I70" s="7">
        <v>2209</v>
      </c>
      <c r="J70" s="7">
        <v>2587</v>
      </c>
      <c r="K70" s="7">
        <v>2685</v>
      </c>
      <c r="L70" s="7">
        <v>2601</v>
      </c>
      <c r="M70" s="7">
        <v>2649</v>
      </c>
      <c r="N70" s="51">
        <v>2595</v>
      </c>
      <c r="O70" s="7">
        <v>2662</v>
      </c>
      <c r="P70" s="7">
        <v>2707</v>
      </c>
      <c r="Q70" s="7">
        <v>2720</v>
      </c>
      <c r="R70" s="7">
        <v>3137</v>
      </c>
    </row>
    <row r="71" spans="2:18" x14ac:dyDescent="0.25">
      <c r="B71" s="2" t="s">
        <v>30</v>
      </c>
      <c r="C71" s="7">
        <v>1096</v>
      </c>
      <c r="D71" s="7">
        <v>1126</v>
      </c>
      <c r="E71" s="7">
        <v>1124</v>
      </c>
      <c r="F71" s="7">
        <v>1119</v>
      </c>
      <c r="G71" s="7">
        <v>1118</v>
      </c>
      <c r="H71" s="7">
        <v>1068</v>
      </c>
      <c r="I71" s="7">
        <v>1055</v>
      </c>
      <c r="J71" s="7">
        <v>1056</v>
      </c>
      <c r="K71" s="7">
        <v>1064</v>
      </c>
      <c r="L71" s="7">
        <v>1103</v>
      </c>
      <c r="M71" s="7">
        <v>1129</v>
      </c>
      <c r="N71" s="51">
        <v>1106</v>
      </c>
      <c r="O71" s="7">
        <v>1124</v>
      </c>
      <c r="P71" s="7">
        <v>1142</v>
      </c>
      <c r="Q71" s="7">
        <v>1121</v>
      </c>
      <c r="R71" s="7">
        <v>1151</v>
      </c>
    </row>
    <row r="72" spans="2:18" x14ac:dyDescent="0.25">
      <c r="B72" s="2" t="s">
        <v>36</v>
      </c>
      <c r="C72" s="7">
        <v>288</v>
      </c>
      <c r="D72" s="7">
        <v>260</v>
      </c>
      <c r="E72" s="7">
        <v>263</v>
      </c>
      <c r="F72" s="7">
        <v>317</v>
      </c>
      <c r="G72" s="7">
        <v>313</v>
      </c>
      <c r="H72" s="7">
        <v>325</v>
      </c>
      <c r="I72" s="7">
        <v>321</v>
      </c>
      <c r="J72" s="7">
        <v>317</v>
      </c>
      <c r="K72" s="7">
        <v>332</v>
      </c>
      <c r="L72" s="7">
        <v>373</v>
      </c>
      <c r="M72" s="7">
        <v>363</v>
      </c>
      <c r="N72" s="51">
        <v>319</v>
      </c>
      <c r="O72" s="7">
        <v>324</v>
      </c>
      <c r="P72" s="7">
        <v>299</v>
      </c>
      <c r="Q72" s="7">
        <v>323</v>
      </c>
      <c r="R72" s="7">
        <v>367</v>
      </c>
    </row>
    <row r="73" spans="2:18" x14ac:dyDescent="0.25">
      <c r="B73" s="2" t="s">
        <v>9</v>
      </c>
      <c r="C73" s="7">
        <v>44</v>
      </c>
      <c r="D73" s="7">
        <v>24</v>
      </c>
      <c r="E73" s="7">
        <v>19</v>
      </c>
      <c r="F73" s="7">
        <v>10</v>
      </c>
      <c r="G73" s="7">
        <v>5</v>
      </c>
      <c r="H73" s="7">
        <v>29</v>
      </c>
      <c r="I73" s="7">
        <v>57</v>
      </c>
      <c r="J73" s="7">
        <v>207</v>
      </c>
      <c r="K73" s="7">
        <v>182</v>
      </c>
      <c r="L73" s="7">
        <v>176</v>
      </c>
      <c r="M73" s="7">
        <v>156</v>
      </c>
      <c r="N73" s="51">
        <v>161</v>
      </c>
      <c r="O73" s="7">
        <v>128</v>
      </c>
      <c r="P73" s="7">
        <v>92</v>
      </c>
      <c r="Q73" s="7">
        <v>88</v>
      </c>
      <c r="R73" s="7">
        <v>122</v>
      </c>
    </row>
    <row r="74" spans="2:18" x14ac:dyDescent="0.25">
      <c r="B74" s="2" t="s">
        <v>31</v>
      </c>
      <c r="C74" s="7">
        <v>971</v>
      </c>
      <c r="D74" s="7">
        <v>885</v>
      </c>
      <c r="E74" s="7">
        <v>577</v>
      </c>
      <c r="F74" s="7">
        <v>515</v>
      </c>
      <c r="G74" s="7">
        <v>457</v>
      </c>
      <c r="H74" s="7">
        <v>391</v>
      </c>
      <c r="I74" s="7">
        <v>333</v>
      </c>
      <c r="J74" s="7">
        <v>272</v>
      </c>
      <c r="K74" s="7">
        <v>212</v>
      </c>
      <c r="L74" s="7">
        <v>151</v>
      </c>
      <c r="M74" s="7">
        <v>89</v>
      </c>
      <c r="N74" s="51">
        <v>29</v>
      </c>
      <c r="O74" s="7">
        <v>0</v>
      </c>
      <c r="P74" s="7">
        <v>0</v>
      </c>
      <c r="Q74" s="7">
        <v>0</v>
      </c>
      <c r="R74" s="7">
        <v>0</v>
      </c>
    </row>
    <row r="75" spans="2:18" x14ac:dyDescent="0.25">
      <c r="B75" s="2" t="s">
        <v>32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628</v>
      </c>
      <c r="J75" s="7">
        <v>630</v>
      </c>
      <c r="K75" s="7">
        <v>638</v>
      </c>
      <c r="L75" s="7">
        <v>696</v>
      </c>
      <c r="M75" s="7">
        <v>699</v>
      </c>
      <c r="N75" s="51">
        <v>650</v>
      </c>
      <c r="O75" s="7">
        <v>649</v>
      </c>
      <c r="P75" s="7">
        <v>612</v>
      </c>
      <c r="Q75" s="7">
        <v>673</v>
      </c>
      <c r="R75" s="7">
        <v>621</v>
      </c>
    </row>
    <row r="76" spans="2:18" s="16" customFormat="1" x14ac:dyDescent="0.25">
      <c r="B76" s="2" t="s">
        <v>33</v>
      </c>
      <c r="C76" s="8">
        <v>240</v>
      </c>
      <c r="D76" s="8">
        <v>250</v>
      </c>
      <c r="E76" s="8">
        <v>564</v>
      </c>
      <c r="F76" s="7">
        <v>1503</v>
      </c>
      <c r="G76" s="7">
        <v>1411</v>
      </c>
      <c r="H76" s="7">
        <v>1409</v>
      </c>
      <c r="I76" s="7">
        <v>635</v>
      </c>
      <c r="J76" s="7">
        <v>656</v>
      </c>
      <c r="K76" s="7">
        <v>633</v>
      </c>
      <c r="L76" s="7">
        <v>647</v>
      </c>
      <c r="M76" s="7">
        <v>834</v>
      </c>
      <c r="N76" s="51">
        <v>924</v>
      </c>
      <c r="O76" s="7">
        <v>868</v>
      </c>
      <c r="P76" s="7">
        <v>806</v>
      </c>
      <c r="Q76" s="7">
        <v>803</v>
      </c>
      <c r="R76" s="7">
        <v>761</v>
      </c>
    </row>
    <row r="77" spans="2:18" s="16" customFormat="1" x14ac:dyDescent="0.25">
      <c r="C77" s="14">
        <f t="shared" ref="C77:O77" si="21">SUM(C65:C76)</f>
        <v>31706</v>
      </c>
      <c r="D77" s="14">
        <f t="shared" si="21"/>
        <v>30000</v>
      </c>
      <c r="E77" s="14">
        <f t="shared" si="21"/>
        <v>31122</v>
      </c>
      <c r="F77" s="14">
        <f t="shared" si="21"/>
        <v>30788</v>
      </c>
      <c r="G77" s="14">
        <f t="shared" si="21"/>
        <v>30449</v>
      </c>
      <c r="H77" s="14">
        <f t="shared" si="21"/>
        <v>31935</v>
      </c>
      <c r="I77" s="14">
        <f t="shared" si="21"/>
        <v>30317</v>
      </c>
      <c r="J77" s="14">
        <f t="shared" si="21"/>
        <v>29855</v>
      </c>
      <c r="K77" s="14">
        <f t="shared" si="21"/>
        <v>29107</v>
      </c>
      <c r="L77" s="14">
        <f t="shared" si="21"/>
        <v>31578</v>
      </c>
      <c r="M77" s="14">
        <f t="shared" si="21"/>
        <v>31099</v>
      </c>
      <c r="N77" s="56">
        <f t="shared" si="21"/>
        <v>27352</v>
      </c>
      <c r="O77" s="14">
        <f t="shared" si="21"/>
        <v>27383</v>
      </c>
      <c r="P77" s="14">
        <f t="shared" ref="P77:Q77" si="22">SUM(P65:P76)</f>
        <v>27028</v>
      </c>
      <c r="Q77" s="14">
        <f t="shared" si="22"/>
        <v>28446</v>
      </c>
      <c r="R77" s="14">
        <f t="shared" ref="R77" si="23">SUM(R65:R76)</f>
        <v>28111</v>
      </c>
    </row>
    <row r="78" spans="2:18" x14ac:dyDescent="0.25">
      <c r="B78" s="1" t="s">
        <v>37</v>
      </c>
      <c r="C78" s="14">
        <f t="shared" ref="C78:O78" si="24">C63+C77</f>
        <v>40893</v>
      </c>
      <c r="D78" s="14">
        <f t="shared" si="24"/>
        <v>38495</v>
      </c>
      <c r="E78" s="14">
        <f t="shared" si="24"/>
        <v>39217</v>
      </c>
      <c r="F78" s="14">
        <f t="shared" si="24"/>
        <v>40775</v>
      </c>
      <c r="G78" s="14">
        <f t="shared" si="24"/>
        <v>39678</v>
      </c>
      <c r="H78" s="14">
        <f t="shared" si="24"/>
        <v>41770</v>
      </c>
      <c r="I78" s="14">
        <f t="shared" si="24"/>
        <v>40804</v>
      </c>
      <c r="J78" s="14">
        <f t="shared" si="24"/>
        <v>41854</v>
      </c>
      <c r="K78" s="14">
        <f t="shared" si="24"/>
        <v>40401</v>
      </c>
      <c r="L78" s="14">
        <f t="shared" si="24"/>
        <v>40648</v>
      </c>
      <c r="M78" s="14">
        <f t="shared" si="24"/>
        <v>42060</v>
      </c>
      <c r="N78" s="56">
        <f t="shared" si="24"/>
        <v>41587</v>
      </c>
      <c r="O78" s="14">
        <f t="shared" si="24"/>
        <v>37013</v>
      </c>
      <c r="P78" s="14">
        <f t="shared" ref="P78:Q78" si="25">P63+P77</f>
        <v>36490</v>
      </c>
      <c r="Q78" s="14">
        <f t="shared" si="25"/>
        <v>37599</v>
      </c>
      <c r="R78" s="14">
        <f t="shared" ref="R78" si="26">R63+R77</f>
        <v>37816</v>
      </c>
    </row>
    <row r="79" spans="2:18" x14ac:dyDescent="0.2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51"/>
      <c r="O79" s="7"/>
      <c r="P79" s="7"/>
      <c r="Q79" s="7"/>
      <c r="R79" s="7"/>
    </row>
    <row r="80" spans="2:18" x14ac:dyDescent="0.25">
      <c r="B80" s="1" t="s">
        <v>38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51"/>
      <c r="O80" s="7"/>
      <c r="P80" s="7"/>
      <c r="Q80" s="7"/>
      <c r="R80" s="7"/>
    </row>
    <row r="81" spans="2:18" x14ac:dyDescent="0.25">
      <c r="B81" s="2" t="s">
        <v>39</v>
      </c>
      <c r="C81" s="7">
        <v>28656</v>
      </c>
      <c r="D81" s="7">
        <v>28656</v>
      </c>
      <c r="E81" s="7">
        <v>28656</v>
      </c>
      <c r="F81" s="7">
        <v>28656</v>
      </c>
      <c r="G81" s="7">
        <v>28656</v>
      </c>
      <c r="H81" s="7">
        <v>28656</v>
      </c>
      <c r="I81" s="7">
        <v>28656</v>
      </c>
      <c r="J81" s="7">
        <v>28656</v>
      </c>
      <c r="K81" s="7">
        <v>28656</v>
      </c>
      <c r="L81" s="7">
        <v>28656</v>
      </c>
      <c r="M81" s="7">
        <v>28656</v>
      </c>
      <c r="N81" s="51">
        <v>28656</v>
      </c>
      <c r="O81" s="7">
        <v>28656</v>
      </c>
      <c r="P81" s="7">
        <v>28656</v>
      </c>
      <c r="Q81" s="7">
        <v>28656</v>
      </c>
      <c r="R81" s="7">
        <v>28656</v>
      </c>
    </row>
    <row r="82" spans="2:18" x14ac:dyDescent="0.25">
      <c r="B82" s="2" t="s">
        <v>40</v>
      </c>
      <c r="C82" s="7">
        <v>7436</v>
      </c>
      <c r="D82" s="7">
        <v>7549</v>
      </c>
      <c r="E82" s="7">
        <v>7549</v>
      </c>
      <c r="F82" s="7">
        <v>6254</v>
      </c>
      <c r="G82" s="7">
        <v>6241</v>
      </c>
      <c r="H82" s="7">
        <v>6121</v>
      </c>
      <c r="I82" s="7">
        <v>6119</v>
      </c>
      <c r="J82" s="7">
        <v>6569</v>
      </c>
      <c r="K82" s="7">
        <v>6069</v>
      </c>
      <c r="L82" s="7">
        <v>6181</v>
      </c>
      <c r="M82" s="7">
        <v>5925</v>
      </c>
      <c r="N82" s="51">
        <v>7243</v>
      </c>
      <c r="O82" s="7">
        <v>6048</v>
      </c>
      <c r="P82" s="7">
        <v>6028</v>
      </c>
      <c r="Q82" s="7">
        <v>6028</v>
      </c>
      <c r="R82" s="7">
        <v>11165</v>
      </c>
    </row>
    <row r="83" spans="2:18" x14ac:dyDescent="0.25">
      <c r="B83" s="2" t="s">
        <v>85</v>
      </c>
      <c r="C83" s="7">
        <v>148</v>
      </c>
      <c r="D83" s="7">
        <v>402</v>
      </c>
      <c r="E83" s="7">
        <v>505</v>
      </c>
      <c r="F83" s="7">
        <v>0</v>
      </c>
      <c r="G83" s="18">
        <v>-573</v>
      </c>
      <c r="H83" s="7">
        <v>10</v>
      </c>
      <c r="I83" s="7">
        <v>479</v>
      </c>
      <c r="J83" s="7">
        <v>0</v>
      </c>
      <c r="K83" s="18">
        <v>-322</v>
      </c>
      <c r="L83" s="18">
        <v>-228</v>
      </c>
      <c r="M83" s="18">
        <v>-44</v>
      </c>
      <c r="N83" s="51">
        <v>0</v>
      </c>
      <c r="O83" s="7">
        <v>4388</v>
      </c>
      <c r="P83" s="7">
        <v>4577</v>
      </c>
      <c r="Q83" s="7">
        <v>4487</v>
      </c>
      <c r="R83" s="7">
        <v>0</v>
      </c>
    </row>
    <row r="84" spans="2:18" s="16" customFormat="1" x14ac:dyDescent="0.25">
      <c r="B84" s="2" t="s">
        <v>41</v>
      </c>
      <c r="C84" s="7">
        <v>1962</v>
      </c>
      <c r="D84" s="7">
        <v>1157</v>
      </c>
      <c r="E84" s="7">
        <v>1247</v>
      </c>
      <c r="F84" s="7">
        <v>1255</v>
      </c>
      <c r="G84" s="7">
        <v>831</v>
      </c>
      <c r="H84" s="7">
        <v>1412</v>
      </c>
      <c r="I84" s="7">
        <v>931</v>
      </c>
      <c r="J84" s="7">
        <v>733</v>
      </c>
      <c r="K84" s="7">
        <v>873</v>
      </c>
      <c r="L84" s="7">
        <v>1771</v>
      </c>
      <c r="M84" s="7">
        <v>1765</v>
      </c>
      <c r="N84" s="51">
        <v>1937</v>
      </c>
      <c r="O84" s="7">
        <v>1907</v>
      </c>
      <c r="P84" s="7">
        <v>1009</v>
      </c>
      <c r="Q84" s="7">
        <v>1604</v>
      </c>
      <c r="R84" s="7">
        <v>1948</v>
      </c>
    </row>
    <row r="85" spans="2:18" x14ac:dyDescent="0.25">
      <c r="B85" s="1" t="s">
        <v>42</v>
      </c>
      <c r="C85" s="17">
        <f t="shared" ref="C85:O85" si="27">SUM(C81:C84)</f>
        <v>38202</v>
      </c>
      <c r="D85" s="17">
        <f t="shared" si="27"/>
        <v>37764</v>
      </c>
      <c r="E85" s="17">
        <f t="shared" si="27"/>
        <v>37957</v>
      </c>
      <c r="F85" s="17">
        <f t="shared" si="27"/>
        <v>36165</v>
      </c>
      <c r="G85" s="17">
        <f t="shared" si="27"/>
        <v>35155</v>
      </c>
      <c r="H85" s="17">
        <f t="shared" si="27"/>
        <v>36199</v>
      </c>
      <c r="I85" s="17">
        <f t="shared" si="27"/>
        <v>36185</v>
      </c>
      <c r="J85" s="17">
        <f t="shared" si="27"/>
        <v>35958</v>
      </c>
      <c r="K85" s="17">
        <f t="shared" si="27"/>
        <v>35276</v>
      </c>
      <c r="L85" s="17">
        <f t="shared" si="27"/>
        <v>36380</v>
      </c>
      <c r="M85" s="17">
        <f t="shared" si="27"/>
        <v>36302</v>
      </c>
      <c r="N85" s="64">
        <f t="shared" si="27"/>
        <v>37836</v>
      </c>
      <c r="O85" s="17">
        <f t="shared" si="27"/>
        <v>40999</v>
      </c>
      <c r="P85" s="17">
        <f t="shared" ref="P85:Q85" si="28">SUM(P81:P84)</f>
        <v>40270</v>
      </c>
      <c r="Q85" s="17">
        <f t="shared" si="28"/>
        <v>40775</v>
      </c>
      <c r="R85" s="17">
        <f t="shared" ref="R85" si="29">SUM(R81:R84)</f>
        <v>41769</v>
      </c>
    </row>
    <row r="86" spans="2:18" x14ac:dyDescent="0.25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51"/>
      <c r="O86" s="7"/>
      <c r="P86" s="7"/>
      <c r="Q86" s="7"/>
      <c r="R86" s="7"/>
    </row>
    <row r="87" spans="2:18" x14ac:dyDescent="0.25">
      <c r="B87" s="2" t="s">
        <v>43</v>
      </c>
      <c r="C87" s="7">
        <v>3772</v>
      </c>
      <c r="D87" s="7">
        <v>2896</v>
      </c>
      <c r="E87" s="7">
        <v>2984</v>
      </c>
      <c r="F87" s="7">
        <v>2658</v>
      </c>
      <c r="G87" s="7">
        <v>2680</v>
      </c>
      <c r="H87" s="7">
        <v>2719</v>
      </c>
      <c r="I87" s="7">
        <v>2442</v>
      </c>
      <c r="J87" s="7">
        <v>4857</v>
      </c>
      <c r="K87" s="7">
        <v>4890</v>
      </c>
      <c r="L87" s="7">
        <v>5550</v>
      </c>
      <c r="M87" s="7">
        <v>5759</v>
      </c>
      <c r="N87" s="51">
        <v>5623</v>
      </c>
      <c r="O87" s="7">
        <v>5505</v>
      </c>
      <c r="P87" s="7">
        <v>5392</v>
      </c>
      <c r="Q87" s="7">
        <v>5563</v>
      </c>
      <c r="R87" s="7">
        <v>5138</v>
      </c>
    </row>
    <row r="88" spans="2:18" s="16" customFormat="1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51"/>
      <c r="O88" s="7"/>
      <c r="P88" s="7"/>
      <c r="Q88" s="7"/>
      <c r="R88" s="7"/>
    </row>
    <row r="89" spans="2:18" x14ac:dyDescent="0.25">
      <c r="B89" s="1" t="s">
        <v>186</v>
      </c>
      <c r="C89" s="14">
        <f t="shared" ref="C89:O89" si="30">C85+C87</f>
        <v>41974</v>
      </c>
      <c r="D89" s="14">
        <f t="shared" si="30"/>
        <v>40660</v>
      </c>
      <c r="E89" s="14">
        <f t="shared" si="30"/>
        <v>40941</v>
      </c>
      <c r="F89" s="14">
        <f t="shared" si="30"/>
        <v>38823</v>
      </c>
      <c r="G89" s="14">
        <f t="shared" si="30"/>
        <v>37835</v>
      </c>
      <c r="H89" s="14">
        <f t="shared" si="30"/>
        <v>38918</v>
      </c>
      <c r="I89" s="14">
        <f t="shared" si="30"/>
        <v>38627</v>
      </c>
      <c r="J89" s="14">
        <f t="shared" si="30"/>
        <v>40815</v>
      </c>
      <c r="K89" s="14">
        <f t="shared" si="30"/>
        <v>40166</v>
      </c>
      <c r="L89" s="14">
        <f t="shared" si="30"/>
        <v>41930</v>
      </c>
      <c r="M89" s="14">
        <f t="shared" si="30"/>
        <v>42061</v>
      </c>
      <c r="N89" s="56">
        <f t="shared" si="30"/>
        <v>43459</v>
      </c>
      <c r="O89" s="14">
        <f t="shared" si="30"/>
        <v>46504</v>
      </c>
      <c r="P89" s="14">
        <f t="shared" ref="P89:Q89" si="31">P85+P87</f>
        <v>45662</v>
      </c>
      <c r="Q89" s="14">
        <f t="shared" si="31"/>
        <v>46338</v>
      </c>
      <c r="R89" s="14">
        <f t="shared" ref="R89" si="32">R85+R87</f>
        <v>46907</v>
      </c>
    </row>
    <row r="90" spans="2:18" s="16" customFormat="1" x14ac:dyDescent="0.2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51"/>
      <c r="O90" s="7"/>
      <c r="P90" s="7"/>
      <c r="Q90" s="7"/>
      <c r="R90" s="7"/>
    </row>
    <row r="91" spans="2:18" ht="15.75" thickBot="1" x14ac:dyDescent="0.3">
      <c r="B91" s="1" t="s">
        <v>44</v>
      </c>
      <c r="C91" s="15">
        <f t="shared" ref="C91:O91" si="33">C89+C78</f>
        <v>82867</v>
      </c>
      <c r="D91" s="15">
        <f t="shared" si="33"/>
        <v>79155</v>
      </c>
      <c r="E91" s="15">
        <f t="shared" si="33"/>
        <v>80158</v>
      </c>
      <c r="F91" s="15">
        <f t="shared" si="33"/>
        <v>79598</v>
      </c>
      <c r="G91" s="15">
        <f t="shared" si="33"/>
        <v>77513</v>
      </c>
      <c r="H91" s="15">
        <f t="shared" si="33"/>
        <v>80688</v>
      </c>
      <c r="I91" s="15">
        <f t="shared" si="33"/>
        <v>79431</v>
      </c>
      <c r="J91" s="15">
        <f t="shared" si="33"/>
        <v>82669</v>
      </c>
      <c r="K91" s="15">
        <f t="shared" si="33"/>
        <v>80567</v>
      </c>
      <c r="L91" s="15">
        <f t="shared" si="33"/>
        <v>82578</v>
      </c>
      <c r="M91" s="15">
        <f t="shared" si="33"/>
        <v>84121</v>
      </c>
      <c r="N91" s="58">
        <f t="shared" si="33"/>
        <v>85046</v>
      </c>
      <c r="O91" s="15">
        <f t="shared" si="33"/>
        <v>83517</v>
      </c>
      <c r="P91" s="15">
        <f t="shared" ref="P91:Q91" si="34">P89+P78</f>
        <v>82152</v>
      </c>
      <c r="Q91" s="15">
        <f t="shared" si="34"/>
        <v>83937</v>
      </c>
      <c r="R91" s="15">
        <f t="shared" ref="R91" si="35">R89+R78</f>
        <v>84723</v>
      </c>
    </row>
    <row r="92" spans="2:18" ht="15.75" thickTop="1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51"/>
    </row>
    <row r="93" spans="2:18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1"/>
    </row>
    <row r="94" spans="2:18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51"/>
    </row>
    <row r="95" spans="2:18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1"/>
    </row>
    <row r="96" spans="2:18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1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51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51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51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1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1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51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51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51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51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51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51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51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51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51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51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51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51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51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1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51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51"/>
    </row>
  </sheetData>
  <mergeCells count="4">
    <mergeCell ref="C4:F5"/>
    <mergeCell ref="G4:J5"/>
    <mergeCell ref="K4:N5"/>
    <mergeCell ref="O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53"/>
  <sheetViews>
    <sheetView showGridLines="0" workbookViewId="0">
      <pane xSplit="2" ySplit="6" topLeftCell="M7" activePane="bottomRight" state="frozen"/>
      <selection activeCell="Q47" sqref="Q47"/>
      <selection pane="topRight" activeCell="Q47" sqref="Q47"/>
      <selection pane="bottomLeft" activeCell="Q47" sqref="Q47"/>
      <selection pane="bottomRight"/>
    </sheetView>
  </sheetViews>
  <sheetFormatPr defaultRowHeight="15" x14ac:dyDescent="0.25"/>
  <cols>
    <col min="1" max="1" width="3.42578125" customWidth="1"/>
    <col min="2" max="2" width="83.42578125" bestFit="1" customWidth="1"/>
    <col min="3" max="13" width="18" customWidth="1"/>
    <col min="14" max="14" width="18" style="52" customWidth="1"/>
    <col min="15" max="22" width="18" customWidth="1"/>
  </cols>
  <sheetData>
    <row r="4" spans="2:22" ht="15" customHeight="1" x14ac:dyDescent="0.25">
      <c r="B4" s="3"/>
      <c r="C4" s="88" t="s">
        <v>49</v>
      </c>
      <c r="D4" s="88"/>
      <c r="E4" s="88"/>
      <c r="F4" s="88"/>
      <c r="G4" s="88"/>
      <c r="H4" s="88" t="s">
        <v>54</v>
      </c>
      <c r="I4" s="88"/>
      <c r="J4" s="88"/>
      <c r="K4" s="88"/>
      <c r="L4" s="88"/>
      <c r="M4" s="89" t="s">
        <v>56</v>
      </c>
      <c r="N4" s="89"/>
      <c r="O4" s="89"/>
      <c r="P4" s="89"/>
      <c r="Q4" s="89"/>
      <c r="R4" s="90">
        <v>2019</v>
      </c>
      <c r="S4" s="90"/>
      <c r="T4" s="90"/>
      <c r="U4" s="90"/>
      <c r="V4" s="90"/>
    </row>
    <row r="5" spans="2:22" ht="15.75" x14ac:dyDescent="0.25">
      <c r="B5" s="4" t="s">
        <v>178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  <c r="N5" s="89"/>
      <c r="O5" s="89"/>
      <c r="P5" s="89"/>
      <c r="Q5" s="89"/>
      <c r="R5" s="90"/>
      <c r="S5" s="90"/>
      <c r="T5" s="90"/>
      <c r="U5" s="90"/>
      <c r="V5" s="90"/>
    </row>
    <row r="6" spans="2:22" ht="15.75" x14ac:dyDescent="0.2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173</v>
      </c>
      <c r="N6" s="6" t="s">
        <v>174</v>
      </c>
      <c r="O6" s="6" t="s">
        <v>175</v>
      </c>
      <c r="P6" s="6" t="s">
        <v>55</v>
      </c>
      <c r="Q6" s="31" t="s">
        <v>56</v>
      </c>
      <c r="R6" s="6" t="s">
        <v>184</v>
      </c>
      <c r="S6" s="6" t="s">
        <v>187</v>
      </c>
      <c r="T6" s="6" t="s">
        <v>192</v>
      </c>
      <c r="U6" s="6" t="s">
        <v>194</v>
      </c>
      <c r="V6" s="31" t="s">
        <v>193</v>
      </c>
    </row>
    <row r="7" spans="2:22" x14ac:dyDescent="0.25">
      <c r="B7" s="12" t="s">
        <v>57</v>
      </c>
      <c r="G7" s="33"/>
      <c r="L7" s="33"/>
      <c r="Q7" s="49"/>
      <c r="V7" s="49"/>
    </row>
    <row r="8" spans="2:22" x14ac:dyDescent="0.25">
      <c r="B8" s="2" t="s">
        <v>58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4">
        <v>26799</v>
      </c>
      <c r="M8" s="7">
        <v>6416</v>
      </c>
      <c r="N8" s="51">
        <v>7799</v>
      </c>
      <c r="O8" s="7">
        <v>8647</v>
      </c>
      <c r="P8" s="7">
        <f>Q8-O8-N8-M8</f>
        <v>8069</v>
      </c>
      <c r="Q8" s="34">
        <v>30931</v>
      </c>
      <c r="R8" s="7">
        <v>6720</v>
      </c>
      <c r="S8" s="7">
        <v>7853</v>
      </c>
      <c r="T8" s="65">
        <v>8268</v>
      </c>
      <c r="U8" s="65">
        <f>V8-SUM(R8:T8)</f>
        <v>8066</v>
      </c>
      <c r="V8" s="91">
        <v>30907</v>
      </c>
    </row>
    <row r="9" spans="2:22" x14ac:dyDescent="0.25">
      <c r="B9" s="2" t="s">
        <v>59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3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35">
        <v>-21171</v>
      </c>
      <c r="M9" s="19">
        <v>-5214</v>
      </c>
      <c r="N9" s="57">
        <v>-6218</v>
      </c>
      <c r="O9" s="19">
        <v>-6941</v>
      </c>
      <c r="P9" s="19">
        <f>Q9-O9-N9-M9</f>
        <v>-6656</v>
      </c>
      <c r="Q9" s="35">
        <v>-25029</v>
      </c>
      <c r="R9" s="19">
        <v>-5838</v>
      </c>
      <c r="S9" s="19">
        <f>-6423-24</f>
        <v>-6447</v>
      </c>
      <c r="T9" s="66">
        <v>-6930</v>
      </c>
      <c r="U9" s="66">
        <f t="shared" ref="U9:U10" si="0">V9-SUM(R9:T9)</f>
        <v>-6597</v>
      </c>
      <c r="V9" s="92">
        <v>-25812</v>
      </c>
    </row>
    <row r="10" spans="2:22" x14ac:dyDescent="0.25">
      <c r="B10" s="12" t="s">
        <v>60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36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36">
        <f t="shared" si="1"/>
        <v>5628</v>
      </c>
      <c r="M10" s="13">
        <f t="shared" si="1"/>
        <v>1202</v>
      </c>
      <c r="N10" s="59">
        <f t="shared" si="1"/>
        <v>1581</v>
      </c>
      <c r="O10" s="13">
        <f t="shared" si="1"/>
        <v>1706</v>
      </c>
      <c r="P10" s="13">
        <f t="shared" si="1"/>
        <v>1413</v>
      </c>
      <c r="Q10" s="36">
        <f t="shared" si="1"/>
        <v>5902</v>
      </c>
      <c r="R10" s="13">
        <f t="shared" si="1"/>
        <v>882</v>
      </c>
      <c r="S10" s="13">
        <f t="shared" ref="S10:U10" si="2">SUM(S8:S9)</f>
        <v>1406</v>
      </c>
      <c r="T10" s="67">
        <f t="shared" si="2"/>
        <v>1338</v>
      </c>
      <c r="U10" s="67">
        <f t="shared" si="2"/>
        <v>1469</v>
      </c>
      <c r="V10" s="93">
        <f t="shared" ref="V10" si="3">SUM(V8:V9)</f>
        <v>5095</v>
      </c>
    </row>
    <row r="11" spans="2:22" x14ac:dyDescent="0.25">
      <c r="B11" s="2"/>
      <c r="C11" s="7"/>
      <c r="D11" s="7"/>
      <c r="E11" s="7"/>
      <c r="F11" s="7"/>
      <c r="G11" s="34"/>
      <c r="H11" s="7"/>
      <c r="I11" s="7"/>
      <c r="J11" s="7"/>
      <c r="K11" s="7"/>
      <c r="L11" s="34"/>
      <c r="M11" s="7"/>
      <c r="N11" s="51"/>
      <c r="O11" s="7"/>
      <c r="P11" s="7"/>
      <c r="Q11" s="34"/>
      <c r="R11" s="7"/>
      <c r="S11" s="7"/>
      <c r="T11" s="65"/>
      <c r="U11" s="65"/>
      <c r="V11" s="91"/>
    </row>
    <row r="12" spans="2:22" x14ac:dyDescent="0.25">
      <c r="B12" s="1" t="s">
        <v>61</v>
      </c>
      <c r="C12" s="7"/>
      <c r="D12" s="7"/>
      <c r="E12" s="7"/>
      <c r="F12" s="7"/>
      <c r="G12" s="34"/>
      <c r="H12" s="7"/>
      <c r="I12" s="7"/>
      <c r="J12" s="7"/>
      <c r="K12" s="7"/>
      <c r="L12" s="34"/>
      <c r="M12" s="7"/>
      <c r="N12" s="51"/>
      <c r="O12" s="7"/>
      <c r="P12" s="7"/>
      <c r="Q12" s="34"/>
      <c r="R12" s="7"/>
      <c r="S12" s="7"/>
      <c r="T12" s="65"/>
      <c r="U12" s="65"/>
      <c r="V12" s="91"/>
    </row>
    <row r="13" spans="2:22" x14ac:dyDescent="0.25">
      <c r="B13" s="2" t="s">
        <v>62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4">G13-E13-D13-C13</f>
        <v>-414</v>
      </c>
      <c r="G13" s="3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5">L13-J13-I13-H13</f>
        <v>-185</v>
      </c>
      <c r="L13" s="37">
        <v>-701</v>
      </c>
      <c r="M13" s="20">
        <v>-180</v>
      </c>
      <c r="N13" s="29">
        <v>-195</v>
      </c>
      <c r="O13" s="20">
        <v>-168</v>
      </c>
      <c r="P13" s="20">
        <f t="shared" ref="P13:P15" si="6">Q13-O13-N13-M13</f>
        <v>-212</v>
      </c>
      <c r="Q13" s="37">
        <v>-755</v>
      </c>
      <c r="R13" s="20">
        <v>-214</v>
      </c>
      <c r="S13" s="20">
        <f>-219+1</f>
        <v>-218</v>
      </c>
      <c r="T13" s="68">
        <v>-226</v>
      </c>
      <c r="U13" s="68">
        <f t="shared" ref="U13:U15" si="7">V13-SUM(R13:T13)</f>
        <v>-215</v>
      </c>
      <c r="V13" s="94">
        <v>-873</v>
      </c>
    </row>
    <row r="14" spans="2:22" x14ac:dyDescent="0.25">
      <c r="B14" s="2" t="s">
        <v>63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4"/>
        <v>-608</v>
      </c>
      <c r="G14" s="3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5"/>
        <v>-570</v>
      </c>
      <c r="L14" s="37">
        <v>-2013</v>
      </c>
      <c r="M14" s="20">
        <v>-464</v>
      </c>
      <c r="N14" s="29">
        <v>-491</v>
      </c>
      <c r="O14" s="20">
        <v>-543</v>
      </c>
      <c r="P14" s="20">
        <f t="shared" si="6"/>
        <v>-639</v>
      </c>
      <c r="Q14" s="37">
        <v>-2137</v>
      </c>
      <c r="R14" s="20">
        <v>-533</v>
      </c>
      <c r="S14" s="20">
        <f>-571+23</f>
        <v>-548</v>
      </c>
      <c r="T14" s="68">
        <v>-614</v>
      </c>
      <c r="U14" s="68">
        <f t="shared" si="7"/>
        <v>-801</v>
      </c>
      <c r="V14" s="94">
        <v>-2496</v>
      </c>
    </row>
    <row r="15" spans="2:22" x14ac:dyDescent="0.25">
      <c r="B15" s="2" t="s">
        <v>64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4"/>
        <v>-2586</v>
      </c>
      <c r="G15" s="3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5"/>
        <v>87</v>
      </c>
      <c r="L15" s="38">
        <v>-553</v>
      </c>
      <c r="M15" s="22">
        <v>-56</v>
      </c>
      <c r="N15" s="51">
        <v>167</v>
      </c>
      <c r="O15" s="22">
        <v>-230</v>
      </c>
      <c r="P15" s="7">
        <f t="shared" si="6"/>
        <v>711</v>
      </c>
      <c r="Q15" s="42">
        <v>592</v>
      </c>
      <c r="R15" s="27">
        <v>6994</v>
      </c>
      <c r="S15" s="22">
        <v>-130</v>
      </c>
      <c r="T15" s="69">
        <v>-735</v>
      </c>
      <c r="U15" s="69">
        <f t="shared" si="7"/>
        <v>-137</v>
      </c>
      <c r="V15" s="95">
        <v>5992</v>
      </c>
    </row>
    <row r="16" spans="2:22" x14ac:dyDescent="0.25">
      <c r="B16" s="2"/>
      <c r="C16" s="19">
        <f t="shared" ref="C16:R16" si="8">SUM(C12:C15)</f>
        <v>-652</v>
      </c>
      <c r="D16" s="21">
        <f t="shared" si="8"/>
        <v>-1073</v>
      </c>
      <c r="E16" s="21">
        <f t="shared" si="8"/>
        <v>-1013</v>
      </c>
      <c r="F16" s="21">
        <f t="shared" si="8"/>
        <v>-3608</v>
      </c>
      <c r="G16" s="39">
        <f t="shared" si="8"/>
        <v>-6346</v>
      </c>
      <c r="H16" s="21">
        <f t="shared" si="8"/>
        <v>-981</v>
      </c>
      <c r="I16" s="21">
        <f t="shared" si="8"/>
        <v>-523</v>
      </c>
      <c r="J16" s="21">
        <f t="shared" si="8"/>
        <v>-1095</v>
      </c>
      <c r="K16" s="21">
        <f t="shared" si="8"/>
        <v>-668</v>
      </c>
      <c r="L16" s="39">
        <f t="shared" si="8"/>
        <v>-3267</v>
      </c>
      <c r="M16" s="21">
        <f t="shared" si="8"/>
        <v>-700</v>
      </c>
      <c r="N16" s="60">
        <f t="shared" si="8"/>
        <v>-519</v>
      </c>
      <c r="O16" s="21">
        <f t="shared" si="8"/>
        <v>-941</v>
      </c>
      <c r="P16" s="21">
        <f t="shared" si="8"/>
        <v>-140</v>
      </c>
      <c r="Q16" s="39">
        <f t="shared" si="8"/>
        <v>-2300</v>
      </c>
      <c r="R16" s="8">
        <f t="shared" si="8"/>
        <v>6247</v>
      </c>
      <c r="S16" s="21">
        <f t="shared" ref="S16:T16" si="9">SUM(S12:S15)</f>
        <v>-896</v>
      </c>
      <c r="T16" s="70">
        <f t="shared" si="9"/>
        <v>-1575</v>
      </c>
      <c r="U16" s="70">
        <f t="shared" ref="U16" si="10">SUM(U12:U15)</f>
        <v>-1153</v>
      </c>
      <c r="V16" s="96">
        <f>SUM(V12:V15)</f>
        <v>2623</v>
      </c>
    </row>
    <row r="17" spans="2:22" x14ac:dyDescent="0.25">
      <c r="B17" s="12" t="s">
        <v>65</v>
      </c>
      <c r="C17" s="14">
        <f t="shared" ref="C17:R17" si="11">C10+C16</f>
        <v>498</v>
      </c>
      <c r="D17" s="14">
        <f t="shared" si="11"/>
        <v>606</v>
      </c>
      <c r="E17" s="14">
        <f t="shared" si="11"/>
        <v>651</v>
      </c>
      <c r="F17" s="24">
        <f t="shared" si="11"/>
        <v>-2146</v>
      </c>
      <c r="G17" s="40">
        <f t="shared" si="11"/>
        <v>-391</v>
      </c>
      <c r="H17" s="24">
        <f t="shared" si="11"/>
        <v>-16</v>
      </c>
      <c r="I17" s="14">
        <f t="shared" si="11"/>
        <v>751</v>
      </c>
      <c r="J17" s="14">
        <f t="shared" si="11"/>
        <v>602</v>
      </c>
      <c r="K17" s="14">
        <f t="shared" si="11"/>
        <v>1024</v>
      </c>
      <c r="L17" s="47">
        <f t="shared" si="11"/>
        <v>2361</v>
      </c>
      <c r="M17" s="14">
        <f t="shared" si="11"/>
        <v>502</v>
      </c>
      <c r="N17" s="56">
        <f t="shared" si="11"/>
        <v>1062</v>
      </c>
      <c r="O17" s="14">
        <f t="shared" si="11"/>
        <v>765</v>
      </c>
      <c r="P17" s="14">
        <f t="shared" si="11"/>
        <v>1273</v>
      </c>
      <c r="Q17" s="47">
        <f t="shared" si="11"/>
        <v>3602</v>
      </c>
      <c r="R17" s="14">
        <f t="shared" si="11"/>
        <v>7129</v>
      </c>
      <c r="S17" s="14">
        <f t="shared" ref="S17:V17" si="12">S10+S16</f>
        <v>510</v>
      </c>
      <c r="T17" s="71">
        <f t="shared" si="12"/>
        <v>-237</v>
      </c>
      <c r="U17" s="71">
        <f t="shared" ref="U17" si="13">U10+U16</f>
        <v>316</v>
      </c>
      <c r="V17" s="97">
        <f t="shared" si="12"/>
        <v>7718</v>
      </c>
    </row>
    <row r="18" spans="2:22" x14ac:dyDescent="0.25">
      <c r="B18" s="2"/>
      <c r="C18" s="11"/>
      <c r="D18" s="11"/>
      <c r="E18" s="11"/>
      <c r="F18" s="11"/>
      <c r="G18" s="41"/>
      <c r="H18" s="11"/>
      <c r="I18" s="11"/>
      <c r="J18" s="11"/>
      <c r="K18" s="11"/>
      <c r="L18" s="41"/>
      <c r="M18" s="11"/>
      <c r="N18" s="61"/>
      <c r="O18" s="11"/>
      <c r="P18" s="11"/>
      <c r="Q18" s="41"/>
      <c r="R18" s="11"/>
      <c r="S18" s="11"/>
      <c r="T18" s="72"/>
      <c r="U18" s="72"/>
      <c r="V18" s="98"/>
    </row>
    <row r="19" spans="2:22" x14ac:dyDescent="0.25">
      <c r="B19" s="1" t="s">
        <v>66</v>
      </c>
      <c r="C19" s="7"/>
      <c r="D19" s="7"/>
      <c r="E19" s="7"/>
      <c r="F19" s="7"/>
      <c r="G19" s="34"/>
      <c r="H19" s="7"/>
      <c r="I19" s="7"/>
      <c r="J19" s="7"/>
      <c r="K19" s="7"/>
      <c r="L19" s="34"/>
      <c r="M19" s="7"/>
      <c r="N19" s="51"/>
      <c r="O19" s="7"/>
      <c r="P19" s="7"/>
      <c r="Q19" s="34"/>
      <c r="R19" s="7"/>
      <c r="S19" s="7"/>
      <c r="T19" s="65"/>
      <c r="U19" s="65"/>
      <c r="V19" s="91"/>
    </row>
    <row r="20" spans="2:22" x14ac:dyDescent="0.25">
      <c r="B20" s="2" t="s">
        <v>67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4">G20-E20-D20-C20</f>
        <v>166</v>
      </c>
      <c r="G20" s="3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5">L20-J20-I20-H20</f>
        <v>288</v>
      </c>
      <c r="L20" s="34">
        <v>1219</v>
      </c>
      <c r="M20" s="7">
        <v>389</v>
      </c>
      <c r="N20" s="51">
        <v>115</v>
      </c>
      <c r="O20" s="7">
        <f>562-N20-M20</f>
        <v>58</v>
      </c>
      <c r="P20" s="7">
        <f t="shared" ref="P20:P22" si="16">Q20-O20-N20-M20</f>
        <v>556</v>
      </c>
      <c r="Q20" s="34">
        <v>1118</v>
      </c>
      <c r="R20" s="7">
        <v>89</v>
      </c>
      <c r="S20" s="7">
        <v>215</v>
      </c>
      <c r="T20" s="65">
        <v>41</v>
      </c>
      <c r="U20" s="65">
        <f t="shared" ref="U20:U22" si="17">V20-SUM(R20:T20)</f>
        <v>574</v>
      </c>
      <c r="V20" s="91">
        <v>919</v>
      </c>
    </row>
    <row r="21" spans="2:22" x14ac:dyDescent="0.25">
      <c r="B21" s="2" t="s">
        <v>68</v>
      </c>
      <c r="C21" s="7">
        <v>0</v>
      </c>
      <c r="D21" s="7">
        <v>0</v>
      </c>
      <c r="E21" s="7">
        <v>0</v>
      </c>
      <c r="F21" s="7">
        <f t="shared" si="14"/>
        <v>0</v>
      </c>
      <c r="G21" s="34">
        <v>0</v>
      </c>
      <c r="H21" s="7">
        <v>0</v>
      </c>
      <c r="I21" s="7">
        <v>0</v>
      </c>
      <c r="J21" s="7">
        <v>0</v>
      </c>
      <c r="K21" s="7">
        <f t="shared" si="15"/>
        <v>0</v>
      </c>
      <c r="L21" s="34">
        <v>0</v>
      </c>
      <c r="M21" s="7">
        <v>0</v>
      </c>
      <c r="N21" s="51">
        <v>0</v>
      </c>
      <c r="O21" s="7">
        <v>0</v>
      </c>
      <c r="P21" s="7">
        <f t="shared" si="16"/>
        <v>820</v>
      </c>
      <c r="Q21" s="34">
        <v>820</v>
      </c>
      <c r="R21" s="7">
        <v>0</v>
      </c>
      <c r="S21" s="7">
        <v>0</v>
      </c>
      <c r="T21" s="65">
        <v>0</v>
      </c>
      <c r="U21" s="65">
        <f t="shared" si="17"/>
        <v>0</v>
      </c>
      <c r="V21" s="34">
        <v>0</v>
      </c>
    </row>
    <row r="22" spans="2:22" x14ac:dyDescent="0.25">
      <c r="B22" s="2" t="s">
        <v>69</v>
      </c>
      <c r="C22" s="8">
        <v>44</v>
      </c>
      <c r="D22" s="8">
        <f>44-C22</f>
        <v>0</v>
      </c>
      <c r="E22" s="8">
        <v>0</v>
      </c>
      <c r="F22" s="8">
        <f t="shared" si="14"/>
        <v>0</v>
      </c>
      <c r="G22" s="4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5"/>
        <v>0</v>
      </c>
      <c r="L22" s="42">
        <v>3</v>
      </c>
      <c r="M22" s="8">
        <v>0</v>
      </c>
      <c r="N22" s="62">
        <f>0-M22</f>
        <v>0</v>
      </c>
      <c r="O22" s="8">
        <f>0-N22-M22</f>
        <v>0</v>
      </c>
      <c r="P22" s="8">
        <f t="shared" si="16"/>
        <v>4</v>
      </c>
      <c r="Q22" s="42">
        <v>4</v>
      </c>
      <c r="R22" s="8">
        <v>0</v>
      </c>
      <c r="S22" s="8">
        <v>108</v>
      </c>
      <c r="T22" s="69">
        <v>0</v>
      </c>
      <c r="U22" s="69">
        <f t="shared" si="17"/>
        <v>0</v>
      </c>
      <c r="V22" s="95">
        <v>108</v>
      </c>
    </row>
    <row r="23" spans="2:22" x14ac:dyDescent="0.25">
      <c r="B23" s="2"/>
      <c r="C23" s="9">
        <f t="shared" ref="C23:R23" si="18">SUM(C20:C22)</f>
        <v>335</v>
      </c>
      <c r="D23" s="9">
        <f t="shared" si="18"/>
        <v>295</v>
      </c>
      <c r="E23" s="23">
        <f t="shared" si="18"/>
        <v>-28</v>
      </c>
      <c r="F23" s="9">
        <f t="shared" si="18"/>
        <v>166</v>
      </c>
      <c r="G23" s="43">
        <f t="shared" si="18"/>
        <v>768</v>
      </c>
      <c r="H23" s="9">
        <f t="shared" si="18"/>
        <v>138</v>
      </c>
      <c r="I23" s="9">
        <f t="shared" si="18"/>
        <v>349</v>
      </c>
      <c r="J23" s="9">
        <f t="shared" si="18"/>
        <v>447</v>
      </c>
      <c r="K23" s="9">
        <f t="shared" si="18"/>
        <v>288</v>
      </c>
      <c r="L23" s="43">
        <f t="shared" si="18"/>
        <v>1222</v>
      </c>
      <c r="M23" s="9">
        <f t="shared" si="18"/>
        <v>389</v>
      </c>
      <c r="N23" s="55">
        <f t="shared" si="18"/>
        <v>115</v>
      </c>
      <c r="O23" s="9">
        <f t="shared" si="18"/>
        <v>58</v>
      </c>
      <c r="P23" s="9">
        <f t="shared" si="18"/>
        <v>1380</v>
      </c>
      <c r="Q23" s="43">
        <f t="shared" si="18"/>
        <v>1942</v>
      </c>
      <c r="R23" s="9">
        <f t="shared" si="18"/>
        <v>89</v>
      </c>
      <c r="S23" s="9">
        <f t="shared" ref="S23:U23" si="19">SUM(S20:S22)</f>
        <v>323</v>
      </c>
      <c r="T23" s="68">
        <f t="shared" si="19"/>
        <v>41</v>
      </c>
      <c r="U23" s="68">
        <f t="shared" si="19"/>
        <v>574</v>
      </c>
      <c r="V23" s="94">
        <f t="shared" ref="V23" si="20">SUM(V20:V22)</f>
        <v>1027</v>
      </c>
    </row>
    <row r="24" spans="2:22" x14ac:dyDescent="0.25">
      <c r="B24" s="1" t="s">
        <v>70</v>
      </c>
      <c r="C24" s="7"/>
      <c r="D24" s="7"/>
      <c r="E24" s="7"/>
      <c r="F24" s="7"/>
      <c r="G24" s="34"/>
      <c r="H24" s="7"/>
      <c r="I24" s="7"/>
      <c r="J24" s="7"/>
      <c r="K24" s="7"/>
      <c r="L24" s="34"/>
      <c r="M24" s="7"/>
      <c r="N24" s="51"/>
      <c r="O24" s="7"/>
      <c r="P24" s="7"/>
      <c r="Q24" s="34"/>
      <c r="R24" s="7"/>
      <c r="S24" s="7"/>
      <c r="T24" s="65"/>
      <c r="U24" s="65"/>
      <c r="V24" s="91"/>
    </row>
    <row r="25" spans="2:22" x14ac:dyDescent="0.25">
      <c r="B25" s="2" t="s">
        <v>71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1">G25-E25-D25-C25</f>
        <v>290</v>
      </c>
      <c r="G25" s="3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2">L25-J25-I25-H25</f>
        <v>181</v>
      </c>
      <c r="L25" s="34">
        <v>1153</v>
      </c>
      <c r="M25" s="7">
        <v>226</v>
      </c>
      <c r="N25" s="51">
        <v>211</v>
      </c>
      <c r="O25" s="7">
        <v>236</v>
      </c>
      <c r="P25" s="7">
        <f t="shared" ref="P25:P28" si="23">Q25-O25-N25-M25</f>
        <v>584</v>
      </c>
      <c r="Q25" s="34">
        <v>1257</v>
      </c>
      <c r="R25" s="7">
        <v>411</v>
      </c>
      <c r="S25" s="7">
        <v>233</v>
      </c>
      <c r="T25" s="65">
        <v>212</v>
      </c>
      <c r="U25" s="65">
        <f t="shared" ref="U25:U28" si="24">V25-SUM(R25:T25)</f>
        <v>411</v>
      </c>
      <c r="V25" s="91">
        <v>1267</v>
      </c>
    </row>
    <row r="26" spans="2:22" x14ac:dyDescent="0.25">
      <c r="B26" s="2" t="s">
        <v>72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1"/>
        <v>-632</v>
      </c>
      <c r="G26" s="3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2"/>
        <v>-715</v>
      </c>
      <c r="L26" s="37">
        <v>-2705</v>
      </c>
      <c r="M26" s="20">
        <v>-555</v>
      </c>
      <c r="N26" s="29">
        <v>-716</v>
      </c>
      <c r="O26" s="20">
        <v>-660</v>
      </c>
      <c r="P26" s="20">
        <f t="shared" si="23"/>
        <v>-598</v>
      </c>
      <c r="Q26" s="37">
        <v>-2529</v>
      </c>
      <c r="R26" s="20">
        <v>-787</v>
      </c>
      <c r="S26" s="20">
        <v>-667</v>
      </c>
      <c r="T26" s="68">
        <v>-475</v>
      </c>
      <c r="U26" s="68">
        <f t="shared" si="24"/>
        <v>-583</v>
      </c>
      <c r="V26" s="94">
        <v>-2512</v>
      </c>
    </row>
    <row r="27" spans="2:22" x14ac:dyDescent="0.25">
      <c r="B27" s="2" t="s">
        <v>73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1"/>
        <v>-87</v>
      </c>
      <c r="G27" s="3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2"/>
        <v>47</v>
      </c>
      <c r="L27" s="37">
        <v>-213</v>
      </c>
      <c r="M27" s="20">
        <v>-3</v>
      </c>
      <c r="N27" s="51">
        <v>264</v>
      </c>
      <c r="O27" s="7">
        <v>45</v>
      </c>
      <c r="P27" s="20">
        <f t="shared" si="23"/>
        <v>-98</v>
      </c>
      <c r="Q27" s="34">
        <v>208</v>
      </c>
      <c r="R27" s="20">
        <v>-59</v>
      </c>
      <c r="S27" s="20">
        <v>-100</v>
      </c>
      <c r="T27" s="68">
        <v>49</v>
      </c>
      <c r="U27" s="68">
        <f t="shared" si="24"/>
        <v>-125</v>
      </c>
      <c r="V27" s="91">
        <v>-235</v>
      </c>
    </row>
    <row r="28" spans="2:22" x14ac:dyDescent="0.25">
      <c r="B28" s="2" t="s">
        <v>74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1"/>
        <v>82</v>
      </c>
      <c r="G28" s="4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2"/>
        <v>-828</v>
      </c>
      <c r="L28" s="38">
        <v>-724</v>
      </c>
      <c r="M28" s="22">
        <v>-57</v>
      </c>
      <c r="N28" s="63">
        <f>-717-M28</f>
        <v>-660</v>
      </c>
      <c r="O28" s="22">
        <v>-245</v>
      </c>
      <c r="P28" s="22">
        <f t="shared" si="23"/>
        <v>-14</v>
      </c>
      <c r="Q28" s="38">
        <v>-976</v>
      </c>
      <c r="R28" s="22">
        <v>-19</v>
      </c>
      <c r="S28" s="8">
        <v>59</v>
      </c>
      <c r="T28" s="69">
        <v>-238</v>
      </c>
      <c r="U28" s="69">
        <f t="shared" si="24"/>
        <v>61</v>
      </c>
      <c r="V28" s="95">
        <v>-137</v>
      </c>
    </row>
    <row r="29" spans="2:22" x14ac:dyDescent="0.25">
      <c r="B29" s="2"/>
      <c r="C29" s="19">
        <f t="shared" ref="C29:R29" si="25">SUM(C25:C28)</f>
        <v>-468</v>
      </c>
      <c r="D29" s="19">
        <f t="shared" si="25"/>
        <v>-567</v>
      </c>
      <c r="E29" s="19">
        <f t="shared" si="25"/>
        <v>-335</v>
      </c>
      <c r="F29" s="19">
        <f t="shared" si="25"/>
        <v>-347</v>
      </c>
      <c r="G29" s="35">
        <f t="shared" si="25"/>
        <v>-1717</v>
      </c>
      <c r="H29" s="19">
        <f t="shared" si="25"/>
        <v>-479</v>
      </c>
      <c r="I29" s="19">
        <f t="shared" si="25"/>
        <v>-197</v>
      </c>
      <c r="J29" s="19">
        <f t="shared" si="25"/>
        <v>-498</v>
      </c>
      <c r="K29" s="19">
        <f t="shared" si="25"/>
        <v>-1315</v>
      </c>
      <c r="L29" s="35">
        <f t="shared" si="25"/>
        <v>-2489</v>
      </c>
      <c r="M29" s="19">
        <f t="shared" si="25"/>
        <v>-389</v>
      </c>
      <c r="N29" s="57">
        <f t="shared" si="25"/>
        <v>-901</v>
      </c>
      <c r="O29" s="19">
        <f t="shared" si="25"/>
        <v>-624</v>
      </c>
      <c r="P29" s="19">
        <f t="shared" si="25"/>
        <v>-126</v>
      </c>
      <c r="Q29" s="35">
        <f t="shared" si="25"/>
        <v>-2040</v>
      </c>
      <c r="R29" s="19">
        <f t="shared" si="25"/>
        <v>-454</v>
      </c>
      <c r="S29" s="19">
        <f t="shared" ref="S29:T29" si="26">SUM(S25:S28)</f>
        <v>-475</v>
      </c>
      <c r="T29" s="66">
        <f t="shared" si="26"/>
        <v>-452</v>
      </c>
      <c r="U29" s="66">
        <f t="shared" ref="U29" si="27">SUM(U25:U28)</f>
        <v>-236</v>
      </c>
      <c r="V29" s="92">
        <f t="shared" ref="V29" si="28">SUM(V25:V28)</f>
        <v>-1617</v>
      </c>
    </row>
    <row r="30" spans="2:22" x14ac:dyDescent="0.25">
      <c r="B30" s="12" t="s">
        <v>75</v>
      </c>
      <c r="C30" s="14">
        <f t="shared" ref="C30:R30" si="29">C17+C23+C29</f>
        <v>365</v>
      </c>
      <c r="D30" s="14">
        <f t="shared" si="29"/>
        <v>334</v>
      </c>
      <c r="E30" s="14">
        <f t="shared" si="29"/>
        <v>288</v>
      </c>
      <c r="F30" s="24">
        <f t="shared" si="29"/>
        <v>-2327</v>
      </c>
      <c r="G30" s="40">
        <f t="shared" si="29"/>
        <v>-1340</v>
      </c>
      <c r="H30" s="24">
        <f t="shared" si="29"/>
        <v>-357</v>
      </c>
      <c r="I30" s="14">
        <f t="shared" si="29"/>
        <v>903</v>
      </c>
      <c r="J30" s="14">
        <f t="shared" si="29"/>
        <v>551</v>
      </c>
      <c r="K30" s="25">
        <f t="shared" si="29"/>
        <v>-3</v>
      </c>
      <c r="L30" s="47">
        <f t="shared" si="29"/>
        <v>1094</v>
      </c>
      <c r="M30" s="14">
        <f t="shared" si="29"/>
        <v>502</v>
      </c>
      <c r="N30" s="56">
        <f t="shared" si="29"/>
        <v>276</v>
      </c>
      <c r="O30" s="14">
        <f t="shared" si="29"/>
        <v>199</v>
      </c>
      <c r="P30" s="14">
        <f t="shared" si="29"/>
        <v>2527</v>
      </c>
      <c r="Q30" s="47">
        <f t="shared" si="29"/>
        <v>3504</v>
      </c>
      <c r="R30" s="14">
        <f t="shared" si="29"/>
        <v>6764</v>
      </c>
      <c r="S30" s="14">
        <f t="shared" ref="S30:V30" si="30">S17+S23+S29</f>
        <v>358</v>
      </c>
      <c r="T30" s="71">
        <f t="shared" si="30"/>
        <v>-648</v>
      </c>
      <c r="U30" s="71">
        <f t="shared" ref="U30" si="31">U17+U23+U29</f>
        <v>654</v>
      </c>
      <c r="V30" s="97">
        <f t="shared" si="30"/>
        <v>7128</v>
      </c>
    </row>
    <row r="31" spans="2:22" x14ac:dyDescent="0.25">
      <c r="B31" s="2"/>
      <c r="C31" s="7"/>
      <c r="D31" s="7"/>
      <c r="E31" s="7"/>
      <c r="F31" s="7"/>
      <c r="G31" s="34"/>
      <c r="H31" s="7"/>
      <c r="I31" s="7"/>
      <c r="J31" s="7"/>
      <c r="K31" s="7"/>
      <c r="L31" s="34"/>
      <c r="M31" s="7"/>
      <c r="N31" s="51"/>
      <c r="O31" s="7"/>
      <c r="P31" s="7"/>
      <c r="Q31" s="34"/>
      <c r="R31" s="7"/>
      <c r="S31" s="7"/>
      <c r="T31" s="65"/>
      <c r="U31" s="65"/>
      <c r="V31" s="91"/>
    </row>
    <row r="32" spans="2:22" x14ac:dyDescent="0.25">
      <c r="B32" s="1" t="s">
        <v>76</v>
      </c>
      <c r="C32" s="7"/>
      <c r="D32" s="7"/>
      <c r="E32" s="7"/>
      <c r="F32" s="7"/>
      <c r="G32" s="34"/>
      <c r="H32" s="7"/>
      <c r="I32" s="7"/>
      <c r="J32" s="7"/>
      <c r="K32" s="7"/>
      <c r="L32" s="34"/>
      <c r="M32" s="7"/>
      <c r="N32" s="51"/>
      <c r="O32" s="7"/>
      <c r="P32" s="7"/>
      <c r="Q32" s="34"/>
      <c r="R32" s="7"/>
      <c r="S32" s="7"/>
      <c r="T32" s="65"/>
      <c r="U32" s="65"/>
      <c r="V32" s="91"/>
    </row>
    <row r="33" spans="1:22" x14ac:dyDescent="0.25">
      <c r="B33" s="2" t="s">
        <v>77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32">G33-E33-D33-C33</f>
        <v>7</v>
      </c>
      <c r="G33" s="3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33">L33-J33-I33-H33</f>
        <v>-240</v>
      </c>
      <c r="L33" s="37">
        <v>-722</v>
      </c>
      <c r="M33" s="20">
        <v>-201</v>
      </c>
      <c r="N33" s="29">
        <v>-86</v>
      </c>
      <c r="O33" s="20">
        <v>-109</v>
      </c>
      <c r="P33" s="20">
        <f t="shared" ref="P33:P34" si="34">Q33-O33-N33-M33</f>
        <v>-59</v>
      </c>
      <c r="Q33" s="37">
        <v>-455</v>
      </c>
      <c r="R33" s="20">
        <v>-1251</v>
      </c>
      <c r="S33" s="20">
        <v>-45</v>
      </c>
      <c r="T33" s="68">
        <v>-130</v>
      </c>
      <c r="U33" s="68">
        <f t="shared" ref="U33:U34" si="35">V33-SUM(R33:T33)</f>
        <v>-35</v>
      </c>
      <c r="V33" s="94">
        <v>-1461</v>
      </c>
    </row>
    <row r="34" spans="1:22" x14ac:dyDescent="0.25">
      <c r="B34" s="2" t="s">
        <v>78</v>
      </c>
      <c r="C34" s="20">
        <v>-27</v>
      </c>
      <c r="D34" s="7">
        <f>167-C34</f>
        <v>194</v>
      </c>
      <c r="E34" s="7">
        <f>300-D34-C34</f>
        <v>133</v>
      </c>
      <c r="F34" s="7">
        <f t="shared" si="32"/>
        <v>570</v>
      </c>
      <c r="G34" s="3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33"/>
        <v>263</v>
      </c>
      <c r="L34" s="34">
        <v>586</v>
      </c>
      <c r="M34" s="20">
        <v>-55</v>
      </c>
      <c r="N34" s="29">
        <v>-4</v>
      </c>
      <c r="O34" s="7">
        <v>22</v>
      </c>
      <c r="P34" s="20">
        <f t="shared" si="34"/>
        <v>-519</v>
      </c>
      <c r="Q34" s="37">
        <v>-556</v>
      </c>
      <c r="R34" s="20">
        <v>-1123</v>
      </c>
      <c r="S34" s="20">
        <v>-51</v>
      </c>
      <c r="T34" s="68">
        <v>321</v>
      </c>
      <c r="U34" s="68">
        <f t="shared" si="35"/>
        <v>148</v>
      </c>
      <c r="V34" s="94">
        <v>-705</v>
      </c>
    </row>
    <row r="35" spans="1:22" x14ac:dyDescent="0.25">
      <c r="B35" s="2"/>
      <c r="C35" s="21">
        <f t="shared" ref="C35:R35" si="36">SUM(C33:C34)</f>
        <v>-142</v>
      </c>
      <c r="D35" s="10">
        <f t="shared" si="36"/>
        <v>2</v>
      </c>
      <c r="E35" s="21">
        <f t="shared" si="36"/>
        <v>-48</v>
      </c>
      <c r="F35" s="10">
        <f t="shared" si="36"/>
        <v>577</v>
      </c>
      <c r="G35" s="44">
        <f t="shared" si="36"/>
        <v>389</v>
      </c>
      <c r="H35" s="21">
        <f t="shared" si="36"/>
        <v>-96</v>
      </c>
      <c r="I35" s="21">
        <f t="shared" si="36"/>
        <v>-156</v>
      </c>
      <c r="J35" s="10">
        <f t="shared" si="36"/>
        <v>93</v>
      </c>
      <c r="K35" s="10">
        <f t="shared" si="36"/>
        <v>23</v>
      </c>
      <c r="L35" s="39">
        <f t="shared" si="36"/>
        <v>-136</v>
      </c>
      <c r="M35" s="21">
        <f t="shared" si="36"/>
        <v>-256</v>
      </c>
      <c r="N35" s="60">
        <f t="shared" si="36"/>
        <v>-90</v>
      </c>
      <c r="O35" s="21">
        <f t="shared" si="36"/>
        <v>-87</v>
      </c>
      <c r="P35" s="21">
        <f t="shared" si="36"/>
        <v>-578</v>
      </c>
      <c r="Q35" s="39">
        <f t="shared" si="36"/>
        <v>-1011</v>
      </c>
      <c r="R35" s="21">
        <f t="shared" si="36"/>
        <v>-2374</v>
      </c>
      <c r="S35" s="21">
        <f t="shared" ref="S35:T35" si="37">SUM(S33:S34)</f>
        <v>-96</v>
      </c>
      <c r="T35" s="70">
        <f t="shared" si="37"/>
        <v>191</v>
      </c>
      <c r="U35" s="70">
        <f t="shared" ref="U35" si="38">SUM(U33:U34)</f>
        <v>113</v>
      </c>
      <c r="V35" s="96">
        <f t="shared" ref="V35" si="39">SUM(V33:V34)</f>
        <v>-2166</v>
      </c>
    </row>
    <row r="36" spans="1:22" x14ac:dyDescent="0.25">
      <c r="B36" s="12" t="s">
        <v>79</v>
      </c>
      <c r="C36" s="14">
        <f t="shared" ref="C36:R36" si="40">C30+C35</f>
        <v>223</v>
      </c>
      <c r="D36" s="14">
        <f t="shared" si="40"/>
        <v>336</v>
      </c>
      <c r="E36" s="14">
        <f t="shared" si="40"/>
        <v>240</v>
      </c>
      <c r="F36" s="25">
        <f t="shared" si="40"/>
        <v>-1750</v>
      </c>
      <c r="G36" s="45">
        <f t="shared" si="40"/>
        <v>-951</v>
      </c>
      <c r="H36" s="25">
        <f t="shared" si="40"/>
        <v>-453</v>
      </c>
      <c r="I36" s="14">
        <f t="shared" si="40"/>
        <v>747</v>
      </c>
      <c r="J36" s="14">
        <f t="shared" si="40"/>
        <v>644</v>
      </c>
      <c r="K36" s="14">
        <f t="shared" si="40"/>
        <v>20</v>
      </c>
      <c r="L36" s="47">
        <f t="shared" si="40"/>
        <v>958</v>
      </c>
      <c r="M36" s="14">
        <f t="shared" si="40"/>
        <v>246</v>
      </c>
      <c r="N36" s="56">
        <f t="shared" si="40"/>
        <v>186</v>
      </c>
      <c r="O36" s="14">
        <f t="shared" si="40"/>
        <v>112</v>
      </c>
      <c r="P36" s="14">
        <f t="shared" si="40"/>
        <v>1949</v>
      </c>
      <c r="Q36" s="47">
        <f t="shared" si="40"/>
        <v>2493</v>
      </c>
      <c r="R36" s="14">
        <f t="shared" si="40"/>
        <v>4390</v>
      </c>
      <c r="S36" s="14">
        <f t="shared" ref="S36:V36" si="41">S30+S35</f>
        <v>262</v>
      </c>
      <c r="T36" s="71">
        <f t="shared" si="41"/>
        <v>-457</v>
      </c>
      <c r="U36" s="71">
        <f t="shared" ref="U36" si="42">U30+U35</f>
        <v>767</v>
      </c>
      <c r="V36" s="97">
        <f t="shared" si="41"/>
        <v>4962</v>
      </c>
    </row>
    <row r="37" spans="1:22" x14ac:dyDescent="0.25">
      <c r="B37" s="2"/>
      <c r="C37" s="7"/>
      <c r="D37" s="7"/>
      <c r="E37" s="7"/>
      <c r="F37" s="7"/>
      <c r="G37" s="34"/>
      <c r="H37" s="7"/>
      <c r="I37" s="7"/>
      <c r="J37" s="7"/>
      <c r="K37" s="7"/>
      <c r="L37" s="34"/>
      <c r="M37" s="7"/>
      <c r="N37" s="51"/>
      <c r="O37" s="7"/>
      <c r="P37" s="7"/>
      <c r="Q37" s="34"/>
      <c r="R37" s="7"/>
      <c r="S37" s="7"/>
      <c r="T37" s="65"/>
      <c r="U37" s="65"/>
      <c r="V37" s="91"/>
    </row>
    <row r="38" spans="1:22" x14ac:dyDescent="0.25">
      <c r="B38" s="1" t="s">
        <v>80</v>
      </c>
      <c r="C38" s="7"/>
      <c r="D38" s="7"/>
      <c r="E38" s="7"/>
      <c r="F38" s="7"/>
      <c r="G38" s="34"/>
      <c r="H38" s="7"/>
      <c r="I38" s="7"/>
      <c r="J38" s="7"/>
      <c r="K38" s="7"/>
      <c r="L38" s="34"/>
      <c r="M38" s="7"/>
      <c r="N38" s="51"/>
      <c r="O38" s="7"/>
      <c r="P38" s="7"/>
      <c r="Q38" s="34"/>
      <c r="R38" s="7"/>
      <c r="S38" s="7"/>
      <c r="T38" s="65"/>
      <c r="U38" s="65"/>
      <c r="V38" s="91"/>
    </row>
    <row r="39" spans="1:22" x14ac:dyDescent="0.25">
      <c r="B39" s="2" t="s">
        <v>81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43">G39-E39-D39-C39</f>
        <v>-112</v>
      </c>
      <c r="G39" s="3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44">L39-J39-I39-H39</f>
        <v>262</v>
      </c>
      <c r="L39" s="37">
        <v>-148</v>
      </c>
      <c r="M39" s="20">
        <v>-96</v>
      </c>
      <c r="N39" s="29">
        <v>-40</v>
      </c>
      <c r="O39" s="68">
        <v>0</v>
      </c>
      <c r="P39" s="20">
        <f t="shared" ref="P39" si="45">Q39-O39-N39-M39</f>
        <v>-47</v>
      </c>
      <c r="Q39" s="37">
        <v>-183</v>
      </c>
      <c r="R39" s="7">
        <v>1</v>
      </c>
      <c r="S39" s="20">
        <v>-37</v>
      </c>
      <c r="T39" s="68">
        <v>-1</v>
      </c>
      <c r="U39" s="68">
        <f>V39-SUM(R39:T39)</f>
        <v>0</v>
      </c>
      <c r="V39" s="94">
        <v>-37</v>
      </c>
    </row>
    <row r="40" spans="1:22" ht="15.75" thickBot="1" x14ac:dyDescent="0.3">
      <c r="B40" s="1" t="s">
        <v>82</v>
      </c>
      <c r="C40" s="15">
        <f t="shared" ref="C40:R40" si="46">C36+C39</f>
        <v>144</v>
      </c>
      <c r="D40" s="15">
        <f t="shared" si="46"/>
        <v>318</v>
      </c>
      <c r="E40" s="15">
        <f t="shared" si="46"/>
        <v>149</v>
      </c>
      <c r="F40" s="26">
        <f t="shared" si="46"/>
        <v>-1862</v>
      </c>
      <c r="G40" s="46">
        <f t="shared" si="46"/>
        <v>-1251</v>
      </c>
      <c r="H40" s="26">
        <f t="shared" si="46"/>
        <v>-546</v>
      </c>
      <c r="I40" s="15">
        <f t="shared" si="46"/>
        <v>554</v>
      </c>
      <c r="J40" s="15">
        <f t="shared" si="46"/>
        <v>520</v>
      </c>
      <c r="K40" s="15">
        <f t="shared" si="46"/>
        <v>282</v>
      </c>
      <c r="L40" s="48">
        <f t="shared" si="46"/>
        <v>810</v>
      </c>
      <c r="M40" s="15">
        <f t="shared" si="46"/>
        <v>150</v>
      </c>
      <c r="N40" s="58">
        <f t="shared" si="46"/>
        <v>146</v>
      </c>
      <c r="O40" s="15">
        <f t="shared" si="46"/>
        <v>112</v>
      </c>
      <c r="P40" s="15">
        <f t="shared" si="46"/>
        <v>1902</v>
      </c>
      <c r="Q40" s="48">
        <f t="shared" si="46"/>
        <v>2310</v>
      </c>
      <c r="R40" s="15">
        <f t="shared" si="46"/>
        <v>4391</v>
      </c>
      <c r="S40" s="15">
        <f t="shared" ref="S40:V40" si="47">S36+S39</f>
        <v>225</v>
      </c>
      <c r="T40" s="73">
        <f t="shared" si="47"/>
        <v>-458</v>
      </c>
      <c r="U40" s="73">
        <f t="shared" si="47"/>
        <v>767</v>
      </c>
      <c r="V40" s="99">
        <f t="shared" si="47"/>
        <v>4925</v>
      </c>
    </row>
    <row r="41" spans="1:22" ht="15.75" thickTop="1" x14ac:dyDescent="0.25">
      <c r="B41" s="2"/>
      <c r="C41" s="7"/>
      <c r="D41" s="7"/>
      <c r="E41" s="7"/>
      <c r="F41" s="7"/>
      <c r="G41" s="34"/>
      <c r="H41" s="7"/>
      <c r="I41" s="7"/>
      <c r="J41" s="7"/>
      <c r="K41" s="7"/>
      <c r="L41" s="34"/>
      <c r="M41" s="7"/>
      <c r="N41" s="51"/>
      <c r="O41" s="7"/>
      <c r="P41" s="7"/>
      <c r="Q41" s="34"/>
      <c r="R41" s="7"/>
      <c r="S41" s="7"/>
      <c r="T41" s="65"/>
      <c r="U41" s="65"/>
      <c r="V41" s="91"/>
    </row>
    <row r="42" spans="1:22" x14ac:dyDescent="0.25">
      <c r="B42" s="2" t="s">
        <v>84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48">G42-E42-D42-C42</f>
        <v>-1801</v>
      </c>
      <c r="G42" s="3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49">L42-J42-I42-H42</f>
        <v>111</v>
      </c>
      <c r="L42" s="34">
        <v>590</v>
      </c>
      <c r="M42" s="7">
        <v>52</v>
      </c>
      <c r="N42" s="51">
        <v>157</v>
      </c>
      <c r="O42" s="7">
        <f>293-N42-M42</f>
        <v>84</v>
      </c>
      <c r="P42" s="7">
        <f t="shared" ref="P42:P43" si="50">Q42-O42-N42-M42</f>
        <v>1809</v>
      </c>
      <c r="Q42" s="34">
        <v>2102</v>
      </c>
      <c r="R42" s="7">
        <v>4388</v>
      </c>
      <c r="S42" s="7">
        <v>189</v>
      </c>
      <c r="T42" s="65">
        <v>-198</v>
      </c>
      <c r="U42" s="65">
        <f t="shared" ref="U42:U43" si="51">V42-SUM(R42:T42)</f>
        <v>791</v>
      </c>
      <c r="V42" s="91">
        <v>5170</v>
      </c>
    </row>
    <row r="43" spans="1:22" x14ac:dyDescent="0.25">
      <c r="B43" s="2" t="s">
        <v>83</v>
      </c>
      <c r="C43" s="20">
        <v>-4</v>
      </c>
      <c r="D43" s="7">
        <f>60-C43</f>
        <v>64</v>
      </c>
      <c r="E43" s="7">
        <f>106-D43-C43</f>
        <v>46</v>
      </c>
      <c r="F43" s="20">
        <f t="shared" si="48"/>
        <v>-61</v>
      </c>
      <c r="G43" s="3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49"/>
        <v>171</v>
      </c>
      <c r="L43" s="34">
        <v>220</v>
      </c>
      <c r="M43" s="7">
        <v>98</v>
      </c>
      <c r="N43" s="29">
        <f>87-M43</f>
        <v>-11</v>
      </c>
      <c r="O43" s="7">
        <f>115-N43-M43</f>
        <v>28</v>
      </c>
      <c r="P43" s="7">
        <f t="shared" si="50"/>
        <v>93</v>
      </c>
      <c r="Q43" s="34">
        <v>208</v>
      </c>
      <c r="R43" s="7">
        <v>3</v>
      </c>
      <c r="S43" s="7">
        <v>36</v>
      </c>
      <c r="T43" s="65">
        <v>-260</v>
      </c>
      <c r="U43" s="65">
        <f t="shared" si="51"/>
        <v>-24</v>
      </c>
      <c r="V43" s="91">
        <v>-245</v>
      </c>
    </row>
    <row r="44" spans="1:22" ht="15.75" thickBot="1" x14ac:dyDescent="0.3">
      <c r="B44" s="1" t="s">
        <v>82</v>
      </c>
      <c r="C44" s="15">
        <f t="shared" ref="C44:R44" si="52">C42+C43</f>
        <v>144</v>
      </c>
      <c r="D44" s="15">
        <f t="shared" si="52"/>
        <v>318</v>
      </c>
      <c r="E44" s="15">
        <f t="shared" si="52"/>
        <v>149</v>
      </c>
      <c r="F44" s="26">
        <f t="shared" si="52"/>
        <v>-1862</v>
      </c>
      <c r="G44" s="46">
        <f t="shared" si="52"/>
        <v>-1251</v>
      </c>
      <c r="H44" s="26">
        <f t="shared" si="52"/>
        <v>-546</v>
      </c>
      <c r="I44" s="15">
        <f t="shared" si="52"/>
        <v>554</v>
      </c>
      <c r="J44" s="15">
        <f t="shared" si="52"/>
        <v>520</v>
      </c>
      <c r="K44" s="15">
        <f t="shared" si="52"/>
        <v>282</v>
      </c>
      <c r="L44" s="48">
        <f t="shared" si="52"/>
        <v>810</v>
      </c>
      <c r="M44" s="15">
        <f t="shared" si="52"/>
        <v>150</v>
      </c>
      <c r="N44" s="58">
        <f t="shared" si="52"/>
        <v>146</v>
      </c>
      <c r="O44" s="15">
        <f t="shared" si="52"/>
        <v>112</v>
      </c>
      <c r="P44" s="15">
        <f t="shared" si="52"/>
        <v>1902</v>
      </c>
      <c r="Q44" s="48">
        <f t="shared" si="52"/>
        <v>2310</v>
      </c>
      <c r="R44" s="15">
        <f t="shared" si="52"/>
        <v>4391</v>
      </c>
      <c r="S44" s="15">
        <f t="shared" ref="S44:V44" si="53">S42+S43</f>
        <v>225</v>
      </c>
      <c r="T44" s="73">
        <f t="shared" si="53"/>
        <v>-458</v>
      </c>
      <c r="U44" s="73">
        <f t="shared" si="53"/>
        <v>767</v>
      </c>
      <c r="V44" s="99">
        <f t="shared" si="53"/>
        <v>4925</v>
      </c>
    </row>
    <row r="45" spans="1:22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V45" s="7"/>
    </row>
    <row r="46" spans="1:22" x14ac:dyDescent="0.25">
      <c r="A46" s="30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V46" s="7"/>
    </row>
    <row r="47" spans="1:22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V47" s="7"/>
    </row>
    <row r="48" spans="1:22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V48" s="7"/>
    </row>
    <row r="49" spans="3:2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V49" s="7"/>
    </row>
    <row r="50" spans="3:2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1"/>
      <c r="O50" s="7"/>
      <c r="P50" s="7"/>
      <c r="Q50" s="7"/>
      <c r="V50" s="7"/>
    </row>
    <row r="51" spans="3:2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1"/>
      <c r="O51" s="7"/>
      <c r="P51" s="7"/>
      <c r="Q51" s="7"/>
      <c r="V51" s="7"/>
    </row>
    <row r="52" spans="3:2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1"/>
      <c r="O52" s="7"/>
      <c r="P52" s="7"/>
      <c r="Q52" s="7"/>
      <c r="V52" s="7"/>
    </row>
    <row r="53" spans="3:2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1"/>
      <c r="O53" s="7"/>
      <c r="P53" s="7"/>
      <c r="Q53" s="7"/>
      <c r="V53" s="7"/>
    </row>
  </sheetData>
  <mergeCells count="4">
    <mergeCell ref="C4:G5"/>
    <mergeCell ref="H4:L5"/>
    <mergeCell ref="M4:Q5"/>
    <mergeCell ref="R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 V6" numberStoredAsText="1"/>
    <ignoredError sqref="U8:U4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5"/>
  <sheetViews>
    <sheetView showGridLines="0" zoomScaleNormal="100" workbookViewId="0">
      <pane xSplit="2" ySplit="6" topLeftCell="M6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3.42578125" style="74" customWidth="1"/>
    <col min="2" max="2" width="83.42578125" style="74" bestFit="1" customWidth="1"/>
    <col min="3" max="13" width="18" style="74" customWidth="1"/>
    <col min="14" max="14" width="18" style="86" customWidth="1"/>
    <col min="15" max="22" width="18" style="74" customWidth="1"/>
    <col min="23" max="16384" width="9.140625" style="74"/>
  </cols>
  <sheetData>
    <row r="1" spans="2:22" customFormat="1" x14ac:dyDescent="0.25">
      <c r="N1" s="52"/>
      <c r="O1" s="74"/>
      <c r="T1" s="74"/>
      <c r="U1" s="74"/>
    </row>
    <row r="2" spans="2:22" customFormat="1" x14ac:dyDescent="0.25">
      <c r="F2" s="28"/>
      <c r="H2" s="28"/>
      <c r="K2" s="28"/>
      <c r="N2" s="52"/>
      <c r="O2" s="74"/>
      <c r="P2" s="28"/>
      <c r="T2" s="74"/>
      <c r="U2" s="74"/>
    </row>
    <row r="3" spans="2:22" customFormat="1" x14ac:dyDescent="0.25">
      <c r="N3" s="52"/>
      <c r="O3" s="74"/>
      <c r="T3" s="74"/>
      <c r="U3" s="74"/>
    </row>
    <row r="4" spans="2:22" customFormat="1" ht="15" customHeight="1" x14ac:dyDescent="0.25">
      <c r="B4" s="3"/>
      <c r="C4" s="88" t="s">
        <v>49</v>
      </c>
      <c r="D4" s="88"/>
      <c r="E4" s="88"/>
      <c r="F4" s="88"/>
      <c r="G4" s="88"/>
      <c r="H4" s="88" t="s">
        <v>54</v>
      </c>
      <c r="I4" s="88"/>
      <c r="J4" s="88"/>
      <c r="K4" s="88"/>
      <c r="L4" s="88"/>
      <c r="M4" s="89" t="s">
        <v>56</v>
      </c>
      <c r="N4" s="89"/>
      <c r="O4" s="89"/>
      <c r="P4" s="89"/>
      <c r="Q4" s="89"/>
      <c r="R4" s="90">
        <v>2019</v>
      </c>
      <c r="S4" s="90"/>
      <c r="T4" s="90"/>
      <c r="U4" s="90"/>
      <c r="V4" s="90"/>
    </row>
    <row r="5" spans="2:22" customFormat="1" ht="15.75" x14ac:dyDescent="0.25">
      <c r="B5" s="4" t="s">
        <v>179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  <c r="N5" s="89"/>
      <c r="O5" s="89"/>
      <c r="P5" s="89"/>
      <c r="Q5" s="89"/>
      <c r="R5" s="90"/>
      <c r="S5" s="90"/>
      <c r="T5" s="90"/>
      <c r="U5" s="90"/>
      <c r="V5" s="90"/>
    </row>
    <row r="6" spans="2:22" customFormat="1" ht="15.75" x14ac:dyDescent="0.2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173</v>
      </c>
      <c r="N6" s="6" t="s">
        <v>174</v>
      </c>
      <c r="O6" s="75" t="s">
        <v>175</v>
      </c>
      <c r="P6" s="6" t="s">
        <v>55</v>
      </c>
      <c r="Q6" s="31" t="s">
        <v>56</v>
      </c>
      <c r="R6" s="6" t="s">
        <v>184</v>
      </c>
      <c r="S6" s="6" t="s">
        <v>187</v>
      </c>
      <c r="T6" s="75" t="s">
        <v>192</v>
      </c>
      <c r="U6" s="75" t="s">
        <v>194</v>
      </c>
      <c r="V6" s="31" t="s">
        <v>193</v>
      </c>
    </row>
    <row r="7" spans="2:22" x14ac:dyDescent="0.25">
      <c r="B7" s="109" t="s">
        <v>88</v>
      </c>
      <c r="G7" s="100"/>
      <c r="L7" s="100"/>
      <c r="Q7" s="100"/>
      <c r="V7" s="100"/>
    </row>
    <row r="8" spans="2:22" x14ac:dyDescent="0.25">
      <c r="B8" s="109"/>
      <c r="G8" s="100"/>
      <c r="L8" s="100"/>
      <c r="Q8" s="100"/>
      <c r="V8" s="100"/>
    </row>
    <row r="9" spans="2:22" s="112" customFormat="1" x14ac:dyDescent="0.25">
      <c r="B9" s="110" t="s">
        <v>89</v>
      </c>
      <c r="C9" s="76">
        <v>365</v>
      </c>
      <c r="D9" s="76">
        <f>699-C9</f>
        <v>334</v>
      </c>
      <c r="E9" s="76">
        <f>987-C9-D9</f>
        <v>288</v>
      </c>
      <c r="F9" s="67">
        <f>G9-SUM(C9:E9)</f>
        <v>-2327</v>
      </c>
      <c r="G9" s="111">
        <v>-1340</v>
      </c>
      <c r="H9" s="67">
        <v>-357</v>
      </c>
      <c r="I9" s="76">
        <f>546-H9</f>
        <v>903</v>
      </c>
      <c r="J9" s="76">
        <f>1097-I9-H9</f>
        <v>551</v>
      </c>
      <c r="K9" s="67">
        <f>L9-SUM(H9:J9)</f>
        <v>-3</v>
      </c>
      <c r="L9" s="101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101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101">
        <v>7128</v>
      </c>
    </row>
    <row r="10" spans="2:22" x14ac:dyDescent="0.25">
      <c r="B10" s="113"/>
      <c r="C10" s="65"/>
      <c r="D10" s="65"/>
      <c r="E10" s="65"/>
      <c r="F10" s="65"/>
      <c r="G10" s="102"/>
      <c r="H10" s="65"/>
      <c r="I10" s="65"/>
      <c r="J10" s="65"/>
      <c r="K10" s="65"/>
      <c r="L10" s="102"/>
      <c r="M10" s="65"/>
      <c r="N10" s="65"/>
      <c r="O10" s="65"/>
      <c r="P10" s="65"/>
      <c r="Q10" s="102"/>
      <c r="R10" s="65"/>
      <c r="S10" s="65"/>
      <c r="T10" s="65"/>
      <c r="U10" s="65"/>
      <c r="V10" s="102"/>
    </row>
    <row r="11" spans="2:22" x14ac:dyDescent="0.25">
      <c r="B11" s="113" t="s">
        <v>171</v>
      </c>
      <c r="C11" s="68">
        <v>-79</v>
      </c>
      <c r="D11" s="68">
        <f>-97-C11</f>
        <v>-18</v>
      </c>
      <c r="E11" s="68">
        <f>-188-C11-D11</f>
        <v>-91</v>
      </c>
      <c r="F11" s="68">
        <f>G11-SUM(C11:E11)</f>
        <v>-112</v>
      </c>
      <c r="G11" s="103">
        <v>-300</v>
      </c>
      <c r="H11" s="68">
        <v>-93</v>
      </c>
      <c r="I11" s="68">
        <f>-286-H11</f>
        <v>-193</v>
      </c>
      <c r="J11" s="68">
        <f>-410-H11-I11</f>
        <v>-124</v>
      </c>
      <c r="K11" s="65">
        <f>L11-SUM(H11:J11)</f>
        <v>262</v>
      </c>
      <c r="L11" s="103">
        <v>-148</v>
      </c>
      <c r="M11" s="68">
        <v>-96</v>
      </c>
      <c r="N11" s="68">
        <v>-40</v>
      </c>
      <c r="O11" s="68">
        <f>-136-M11-N11</f>
        <v>0</v>
      </c>
      <c r="P11" s="68">
        <f>Q11-SUM(M11:O11)</f>
        <v>-47</v>
      </c>
      <c r="Q11" s="103">
        <v>-183</v>
      </c>
      <c r="R11" s="65">
        <v>1</v>
      </c>
      <c r="S11" s="68">
        <v>-37</v>
      </c>
      <c r="T11" s="68">
        <v>-1</v>
      </c>
      <c r="U11" s="68">
        <f t="shared" ref="U11:U74" si="0">V11-SUM(R11:T11)</f>
        <v>0</v>
      </c>
      <c r="V11" s="103">
        <v>-37</v>
      </c>
    </row>
    <row r="12" spans="2:22" x14ac:dyDescent="0.25">
      <c r="B12" s="113"/>
      <c r="C12" s="68"/>
      <c r="D12" s="68"/>
      <c r="E12" s="68"/>
      <c r="F12" s="68"/>
      <c r="G12" s="103"/>
      <c r="H12" s="68"/>
      <c r="I12" s="68"/>
      <c r="J12" s="68"/>
      <c r="K12" s="65"/>
      <c r="L12" s="103"/>
      <c r="M12" s="68"/>
      <c r="N12" s="68"/>
      <c r="O12" s="68"/>
      <c r="P12" s="68"/>
      <c r="Q12" s="103"/>
      <c r="R12" s="65"/>
      <c r="S12" s="65"/>
      <c r="T12" s="65"/>
      <c r="U12" s="65"/>
      <c r="V12" s="103"/>
    </row>
    <row r="13" spans="2:22" x14ac:dyDescent="0.25">
      <c r="B13" s="113" t="s">
        <v>172</v>
      </c>
      <c r="C13" s="68"/>
      <c r="D13" s="68"/>
      <c r="E13" s="68"/>
      <c r="F13" s="68"/>
      <c r="G13" s="103"/>
      <c r="H13" s="68"/>
      <c r="I13" s="68"/>
      <c r="J13" s="68"/>
      <c r="K13" s="68"/>
      <c r="L13" s="103"/>
      <c r="M13" s="68"/>
      <c r="N13" s="68"/>
      <c r="O13" s="68"/>
      <c r="P13" s="68"/>
      <c r="Q13" s="103"/>
      <c r="R13" s="68"/>
      <c r="S13" s="68"/>
      <c r="T13" s="68"/>
      <c r="U13" s="68"/>
      <c r="V13" s="103"/>
    </row>
    <row r="14" spans="2:22" x14ac:dyDescent="0.25">
      <c r="B14" s="113" t="s">
        <v>138</v>
      </c>
      <c r="C14" s="65">
        <v>0</v>
      </c>
      <c r="D14" s="65">
        <v>0</v>
      </c>
      <c r="E14" s="65">
        <v>0</v>
      </c>
      <c r="F14" s="65">
        <f t="shared" ref="F14:F36" si="1">G14-SUM(C14:E14)</f>
        <v>0</v>
      </c>
      <c r="G14" s="102">
        <v>0</v>
      </c>
      <c r="H14" s="65">
        <v>0</v>
      </c>
      <c r="I14" s="65">
        <v>0</v>
      </c>
      <c r="J14" s="65">
        <v>0</v>
      </c>
      <c r="K14" s="68">
        <f t="shared" ref="K14:K36" si="2">L14-SUM(H14:J14)</f>
        <v>-23</v>
      </c>
      <c r="L14" s="103">
        <f>-133-118+228</f>
        <v>-23</v>
      </c>
      <c r="M14" s="65">
        <v>0</v>
      </c>
      <c r="N14" s="65">
        <v>0</v>
      </c>
      <c r="O14" s="65">
        <v>0</v>
      </c>
      <c r="P14" s="65">
        <f t="shared" ref="P14:P36" si="3">Q14-SUM(M14:O14)</f>
        <v>0</v>
      </c>
      <c r="Q14" s="102">
        <v>0</v>
      </c>
      <c r="R14" s="65">
        <v>0</v>
      </c>
      <c r="S14" s="65">
        <v>0</v>
      </c>
      <c r="T14" s="65">
        <v>0</v>
      </c>
      <c r="U14" s="65">
        <f t="shared" si="0"/>
        <v>0</v>
      </c>
      <c r="V14" s="102">
        <v>0</v>
      </c>
    </row>
    <row r="15" spans="2:22" x14ac:dyDescent="0.25">
      <c r="B15" s="113" t="s">
        <v>92</v>
      </c>
      <c r="C15" s="65">
        <v>688</v>
      </c>
      <c r="D15" s="65">
        <f>1340-C15</f>
        <v>652</v>
      </c>
      <c r="E15" s="65">
        <f>1961-C15-D15</f>
        <v>621</v>
      </c>
      <c r="F15" s="65">
        <f t="shared" si="1"/>
        <v>642</v>
      </c>
      <c r="G15" s="102">
        <v>2603</v>
      </c>
      <c r="H15" s="65">
        <v>592</v>
      </c>
      <c r="I15" s="65">
        <f>1171-H15</f>
        <v>579</v>
      </c>
      <c r="J15" s="65">
        <f>1730-H15-I15</f>
        <v>559</v>
      </c>
      <c r="K15" s="65">
        <f t="shared" si="2"/>
        <v>595</v>
      </c>
      <c r="L15" s="102">
        <v>2325</v>
      </c>
      <c r="M15" s="65">
        <v>595</v>
      </c>
      <c r="N15" s="65">
        <v>622</v>
      </c>
      <c r="O15" s="65">
        <f>1876-M15-N15</f>
        <v>659</v>
      </c>
      <c r="P15" s="65">
        <f t="shared" si="3"/>
        <v>579</v>
      </c>
      <c r="Q15" s="102">
        <v>2455</v>
      </c>
      <c r="R15" s="65">
        <v>729</v>
      </c>
      <c r="S15" s="65">
        <v>762</v>
      </c>
      <c r="T15" s="65">
        <v>802</v>
      </c>
      <c r="U15" s="65">
        <f t="shared" si="0"/>
        <v>774</v>
      </c>
      <c r="V15" s="102">
        <v>3067</v>
      </c>
    </row>
    <row r="16" spans="2:22" x14ac:dyDescent="0.25">
      <c r="B16" s="113" t="s">
        <v>91</v>
      </c>
      <c r="C16" s="68">
        <v>-291</v>
      </c>
      <c r="D16" s="68">
        <f>-586-C16</f>
        <v>-295</v>
      </c>
      <c r="E16" s="65">
        <f>-558-C16-D16</f>
        <v>28</v>
      </c>
      <c r="F16" s="68">
        <f t="shared" si="1"/>
        <v>-166</v>
      </c>
      <c r="G16" s="103">
        <v>-724</v>
      </c>
      <c r="H16" s="68">
        <v>-134</v>
      </c>
      <c r="I16" s="68">
        <f>-484-H16</f>
        <v>-350</v>
      </c>
      <c r="J16" s="68">
        <f>-931-H16-I16</f>
        <v>-447</v>
      </c>
      <c r="K16" s="68">
        <f t="shared" si="2"/>
        <v>-288</v>
      </c>
      <c r="L16" s="103">
        <v>-1219</v>
      </c>
      <c r="M16" s="68">
        <v>-389</v>
      </c>
      <c r="N16" s="68">
        <v>-115</v>
      </c>
      <c r="O16" s="68">
        <f>-562-M16-N16</f>
        <v>-58</v>
      </c>
      <c r="P16" s="68">
        <f t="shared" si="3"/>
        <v>-556</v>
      </c>
      <c r="Q16" s="103">
        <v>-1118</v>
      </c>
      <c r="R16" s="68">
        <v>-89</v>
      </c>
      <c r="S16" s="68">
        <v>-215</v>
      </c>
      <c r="T16" s="68">
        <v>-41</v>
      </c>
      <c r="U16" s="68">
        <f t="shared" si="0"/>
        <v>-574</v>
      </c>
      <c r="V16" s="103">
        <v>-919</v>
      </c>
    </row>
    <row r="17" spans="2:22" x14ac:dyDescent="0.25">
      <c r="B17" s="113" t="s">
        <v>147</v>
      </c>
      <c r="C17" s="65">
        <v>0</v>
      </c>
      <c r="D17" s="65">
        <v>0</v>
      </c>
      <c r="E17" s="65">
        <v>0</v>
      </c>
      <c r="F17" s="65">
        <v>0</v>
      </c>
      <c r="G17" s="102">
        <v>0</v>
      </c>
      <c r="H17" s="65">
        <v>0</v>
      </c>
      <c r="I17" s="65">
        <v>0</v>
      </c>
      <c r="J17" s="65">
        <v>0</v>
      </c>
      <c r="K17" s="65">
        <v>0</v>
      </c>
      <c r="L17" s="102">
        <v>0</v>
      </c>
      <c r="M17" s="68">
        <v>0</v>
      </c>
      <c r="N17" s="68">
        <v>0</v>
      </c>
      <c r="O17" s="68">
        <v>0</v>
      </c>
      <c r="P17" s="68">
        <f t="shared" si="3"/>
        <v>-820</v>
      </c>
      <c r="Q17" s="103">
        <v>-820</v>
      </c>
      <c r="R17" s="65">
        <v>0</v>
      </c>
      <c r="S17" s="65">
        <v>0</v>
      </c>
      <c r="T17" s="65">
        <v>0</v>
      </c>
      <c r="U17" s="65">
        <f t="shared" si="0"/>
        <v>0</v>
      </c>
      <c r="V17" s="103">
        <v>0</v>
      </c>
    </row>
    <row r="18" spans="2:22" x14ac:dyDescent="0.25">
      <c r="B18" s="113" t="s">
        <v>190</v>
      </c>
      <c r="C18" s="65">
        <v>0</v>
      </c>
      <c r="D18" s="68">
        <v>-44</v>
      </c>
      <c r="E18" s="65">
        <f>-44-D18-C18</f>
        <v>0</v>
      </c>
      <c r="F18" s="65">
        <f t="shared" si="1"/>
        <v>0</v>
      </c>
      <c r="G18" s="103">
        <v>-44</v>
      </c>
      <c r="H18" s="65">
        <v>0</v>
      </c>
      <c r="I18" s="68">
        <f>-85-H18</f>
        <v>-85</v>
      </c>
      <c r="J18" s="68">
        <f>-131-H18-I18</f>
        <v>-46</v>
      </c>
      <c r="K18" s="65">
        <f>L18-SUM(H18:J18)</f>
        <v>462</v>
      </c>
      <c r="L18" s="102">
        <v>331</v>
      </c>
      <c r="M18" s="65">
        <v>0</v>
      </c>
      <c r="N18" s="65">
        <v>0</v>
      </c>
      <c r="O18" s="65">
        <v>0</v>
      </c>
      <c r="P18" s="65">
        <f t="shared" si="3"/>
        <v>0</v>
      </c>
      <c r="Q18" s="102">
        <v>0</v>
      </c>
      <c r="R18" s="65">
        <v>0</v>
      </c>
      <c r="S18" s="68">
        <v>-108</v>
      </c>
      <c r="T18" s="68">
        <v>0</v>
      </c>
      <c r="U18" s="68">
        <f t="shared" si="0"/>
        <v>0</v>
      </c>
      <c r="V18" s="102">
        <v>-108</v>
      </c>
    </row>
    <row r="19" spans="2:22" x14ac:dyDescent="0.25">
      <c r="B19" s="113" t="s">
        <v>90</v>
      </c>
      <c r="C19" s="68">
        <v>-58</v>
      </c>
      <c r="D19" s="65">
        <f>130-C19</f>
        <v>188</v>
      </c>
      <c r="E19" s="65">
        <f>578-C19-D19</f>
        <v>448</v>
      </c>
      <c r="F19" s="65">
        <f t="shared" si="1"/>
        <v>474</v>
      </c>
      <c r="G19" s="102">
        <v>1052</v>
      </c>
      <c r="H19" s="65">
        <v>349</v>
      </c>
      <c r="I19" s="65">
        <f>508-H19</f>
        <v>159</v>
      </c>
      <c r="J19" s="65">
        <f>1095-H19-I19</f>
        <v>587</v>
      </c>
      <c r="K19" s="65">
        <f t="shared" si="2"/>
        <v>911</v>
      </c>
      <c r="L19" s="102">
        <v>2006</v>
      </c>
      <c r="M19" s="68">
        <v>89</v>
      </c>
      <c r="N19" s="68">
        <v>319</v>
      </c>
      <c r="O19" s="68">
        <f>587-M19-N19</f>
        <v>179</v>
      </c>
      <c r="P19" s="68">
        <f t="shared" si="3"/>
        <v>-55</v>
      </c>
      <c r="Q19" s="102">
        <v>532</v>
      </c>
      <c r="R19" s="65">
        <v>142</v>
      </c>
      <c r="S19" s="65">
        <v>282</v>
      </c>
      <c r="T19" s="65">
        <v>319</v>
      </c>
      <c r="U19" s="65">
        <f t="shared" si="0"/>
        <v>-233</v>
      </c>
      <c r="V19" s="102">
        <v>510</v>
      </c>
    </row>
    <row r="20" spans="2:22" x14ac:dyDescent="0.25">
      <c r="B20" s="113" t="s">
        <v>135</v>
      </c>
      <c r="C20" s="65">
        <v>0</v>
      </c>
      <c r="D20" s="65">
        <v>0</v>
      </c>
      <c r="E20" s="65">
        <v>0</v>
      </c>
      <c r="F20" s="65">
        <v>0</v>
      </c>
      <c r="G20" s="102"/>
      <c r="H20" s="65">
        <v>0</v>
      </c>
      <c r="I20" s="65">
        <v>0</v>
      </c>
      <c r="J20" s="65">
        <f>0-I20-H20</f>
        <v>0</v>
      </c>
      <c r="K20" s="65">
        <f t="shared" si="2"/>
        <v>0</v>
      </c>
      <c r="L20" s="102">
        <v>0</v>
      </c>
      <c r="M20" s="65">
        <v>0</v>
      </c>
      <c r="N20" s="65">
        <v>0</v>
      </c>
      <c r="O20" s="65">
        <v>0</v>
      </c>
      <c r="P20" s="65">
        <f t="shared" si="3"/>
        <v>0</v>
      </c>
      <c r="Q20" s="102">
        <v>0</v>
      </c>
      <c r="R20" s="65">
        <v>0</v>
      </c>
      <c r="S20" s="65">
        <v>0</v>
      </c>
      <c r="T20" s="65">
        <v>0</v>
      </c>
      <c r="U20" s="65">
        <f t="shared" si="0"/>
        <v>0</v>
      </c>
      <c r="V20" s="102">
        <v>0</v>
      </c>
    </row>
    <row r="21" spans="2:22" x14ac:dyDescent="0.25">
      <c r="B21" s="113" t="s">
        <v>129</v>
      </c>
      <c r="C21" s="68">
        <v>-10</v>
      </c>
      <c r="D21" s="65">
        <f>57-C21</f>
        <v>67</v>
      </c>
      <c r="E21" s="68">
        <f>51-C21-D21</f>
        <v>-6</v>
      </c>
      <c r="F21" s="65">
        <f t="shared" si="1"/>
        <v>2101</v>
      </c>
      <c r="G21" s="102">
        <f>988+1164</f>
        <v>2152</v>
      </c>
      <c r="H21" s="68">
        <v>-26</v>
      </c>
      <c r="I21" s="78">
        <f>-37-H21</f>
        <v>-11</v>
      </c>
      <c r="J21" s="68">
        <f>-51-I21-H21</f>
        <v>-14</v>
      </c>
      <c r="K21" s="65">
        <f t="shared" si="2"/>
        <v>28</v>
      </c>
      <c r="L21" s="103">
        <v>-23</v>
      </c>
      <c r="M21" s="68">
        <v>-7</v>
      </c>
      <c r="N21" s="68">
        <f>-11-M21</f>
        <v>-4</v>
      </c>
      <c r="O21" s="68">
        <f>-16-M21-N21</f>
        <v>-5</v>
      </c>
      <c r="P21" s="68">
        <f t="shared" si="3"/>
        <v>-37</v>
      </c>
      <c r="Q21" s="103">
        <v>-53</v>
      </c>
      <c r="R21" s="68">
        <v>-9</v>
      </c>
      <c r="S21" s="68">
        <v>-6</v>
      </c>
      <c r="T21" s="68">
        <v>561</v>
      </c>
      <c r="U21" s="68">
        <f t="shared" si="0"/>
        <v>168</v>
      </c>
      <c r="V21" s="103">
        <v>714</v>
      </c>
    </row>
    <row r="22" spans="2:22" x14ac:dyDescent="0.25">
      <c r="B22" s="113" t="s">
        <v>93</v>
      </c>
      <c r="C22" s="68">
        <v>-38</v>
      </c>
      <c r="D22" s="68">
        <f>-43-C22</f>
        <v>-5</v>
      </c>
      <c r="E22" s="65">
        <f>-40-C22-D22</f>
        <v>3</v>
      </c>
      <c r="F22" s="68">
        <f t="shared" si="1"/>
        <v>-109</v>
      </c>
      <c r="G22" s="103">
        <v>-149</v>
      </c>
      <c r="H22" s="65">
        <v>24</v>
      </c>
      <c r="I22" s="68">
        <f>14-H22</f>
        <v>-10</v>
      </c>
      <c r="J22" s="65">
        <f>40-I22-H22</f>
        <v>26</v>
      </c>
      <c r="K22" s="68">
        <f t="shared" si="2"/>
        <v>-44</v>
      </c>
      <c r="L22" s="103">
        <v>-4</v>
      </c>
      <c r="M22" s="65">
        <v>-7</v>
      </c>
      <c r="N22" s="65">
        <v>0</v>
      </c>
      <c r="O22" s="65">
        <f>-51-M22-N22</f>
        <v>-44</v>
      </c>
      <c r="P22" s="65">
        <f t="shared" si="3"/>
        <v>9</v>
      </c>
      <c r="Q22" s="103">
        <v>-42</v>
      </c>
      <c r="R22" s="65">
        <v>2</v>
      </c>
      <c r="S22" s="68">
        <v>-33</v>
      </c>
      <c r="T22" s="68">
        <v>-14</v>
      </c>
      <c r="U22" s="68">
        <f t="shared" si="0"/>
        <v>37</v>
      </c>
      <c r="V22" s="103">
        <v>-8</v>
      </c>
    </row>
    <row r="23" spans="2:22" x14ac:dyDescent="0.25">
      <c r="B23" s="113" t="s">
        <v>130</v>
      </c>
      <c r="C23" s="68">
        <v>-302</v>
      </c>
      <c r="D23" s="68">
        <f>-312-C23</f>
        <v>-10</v>
      </c>
      <c r="E23" s="65">
        <f>-312-C23-D23</f>
        <v>0</v>
      </c>
      <c r="F23" s="65">
        <f t="shared" si="1"/>
        <v>0</v>
      </c>
      <c r="G23" s="103">
        <v>-312</v>
      </c>
      <c r="H23" s="65">
        <v>0</v>
      </c>
      <c r="I23" s="68">
        <f>-16-H23</f>
        <v>-16</v>
      </c>
      <c r="J23" s="65">
        <f>-16-I23-H23</f>
        <v>0</v>
      </c>
      <c r="K23" s="68">
        <f t="shared" si="2"/>
        <v>-609</v>
      </c>
      <c r="L23" s="103">
        <v>-625</v>
      </c>
      <c r="M23" s="68">
        <v>0</v>
      </c>
      <c r="N23" s="68">
        <v>-7</v>
      </c>
      <c r="O23" s="68">
        <f>-8-M23-N23</f>
        <v>-1</v>
      </c>
      <c r="P23" s="68">
        <f t="shared" si="3"/>
        <v>-118</v>
      </c>
      <c r="Q23" s="103">
        <v>-126</v>
      </c>
      <c r="R23" s="65">
        <v>0</v>
      </c>
      <c r="S23" s="65">
        <v>50</v>
      </c>
      <c r="T23" s="65">
        <v>0</v>
      </c>
      <c r="U23" s="65">
        <f t="shared" si="0"/>
        <v>2</v>
      </c>
      <c r="V23" s="103">
        <v>52</v>
      </c>
    </row>
    <row r="24" spans="2:22" x14ac:dyDescent="0.25">
      <c r="B24" s="113" t="s">
        <v>136</v>
      </c>
      <c r="C24" s="65">
        <v>0</v>
      </c>
      <c r="D24" s="65">
        <v>0</v>
      </c>
      <c r="E24" s="65">
        <v>0</v>
      </c>
      <c r="F24" s="65">
        <v>0</v>
      </c>
      <c r="G24" s="102">
        <v>0</v>
      </c>
      <c r="H24" s="65">
        <v>0</v>
      </c>
      <c r="I24" s="65">
        <v>0</v>
      </c>
      <c r="J24" s="65">
        <f>0-I24-H24</f>
        <v>0</v>
      </c>
      <c r="K24" s="65">
        <f t="shared" si="2"/>
        <v>0</v>
      </c>
      <c r="L24" s="102">
        <v>0</v>
      </c>
      <c r="M24" s="65">
        <v>0</v>
      </c>
      <c r="N24" s="65">
        <v>0</v>
      </c>
      <c r="O24" s="65">
        <f>0-M24-N24</f>
        <v>0</v>
      </c>
      <c r="P24" s="65">
        <f t="shared" si="3"/>
        <v>0</v>
      </c>
      <c r="Q24" s="102">
        <v>0</v>
      </c>
      <c r="R24" s="65">
        <v>0</v>
      </c>
      <c r="S24" s="65">
        <v>0</v>
      </c>
      <c r="T24" s="65">
        <v>0</v>
      </c>
      <c r="U24" s="65">
        <f t="shared" si="0"/>
        <v>0</v>
      </c>
      <c r="V24" s="102">
        <v>0</v>
      </c>
    </row>
    <row r="25" spans="2:22" s="86" customFormat="1" x14ac:dyDescent="0.25">
      <c r="B25" s="114" t="s">
        <v>131</v>
      </c>
      <c r="C25" s="77">
        <v>0</v>
      </c>
      <c r="D25" s="77">
        <v>38</v>
      </c>
      <c r="E25" s="77">
        <f>42-C25-D25</f>
        <v>4</v>
      </c>
      <c r="F25" s="78">
        <f t="shared" si="1"/>
        <v>-38</v>
      </c>
      <c r="G25" s="102">
        <v>4</v>
      </c>
      <c r="H25" s="78">
        <v>-2</v>
      </c>
      <c r="I25" s="77">
        <f>3-H25</f>
        <v>5</v>
      </c>
      <c r="J25" s="77">
        <f>5-I25-H25</f>
        <v>2</v>
      </c>
      <c r="K25" s="78">
        <f t="shared" si="2"/>
        <v>-5</v>
      </c>
      <c r="L25" s="102">
        <v>0</v>
      </c>
      <c r="M25" s="78">
        <v>36</v>
      </c>
      <c r="N25" s="78">
        <v>46</v>
      </c>
      <c r="O25" s="78">
        <v>-10</v>
      </c>
      <c r="P25" s="78">
        <f t="shared" si="3"/>
        <v>-57</v>
      </c>
      <c r="Q25" s="102">
        <v>15</v>
      </c>
      <c r="R25" s="77">
        <v>0</v>
      </c>
      <c r="S25" s="77">
        <v>17</v>
      </c>
      <c r="T25" s="77">
        <v>22</v>
      </c>
      <c r="U25" s="77">
        <f t="shared" si="0"/>
        <v>-22</v>
      </c>
      <c r="V25" s="102">
        <v>17</v>
      </c>
    </row>
    <row r="26" spans="2:22" s="116" customFormat="1" x14ac:dyDescent="0.25">
      <c r="B26" s="115" t="s">
        <v>143</v>
      </c>
      <c r="C26" s="78">
        <v>-24</v>
      </c>
      <c r="D26" s="78">
        <f>-57-C26</f>
        <v>-33</v>
      </c>
      <c r="E26" s="77">
        <f>-27-C26-D26</f>
        <v>30</v>
      </c>
      <c r="F26" s="77">
        <f t="shared" si="1"/>
        <v>1</v>
      </c>
      <c r="G26" s="103">
        <v>-26</v>
      </c>
      <c r="H26" s="77">
        <v>17</v>
      </c>
      <c r="I26" s="77">
        <f>38-H26</f>
        <v>21</v>
      </c>
      <c r="J26" s="77">
        <f>58-H26-I26</f>
        <v>20</v>
      </c>
      <c r="K26" s="78">
        <f t="shared" si="2"/>
        <v>-11</v>
      </c>
      <c r="L26" s="102">
        <v>47</v>
      </c>
      <c r="M26" s="78">
        <v>-17</v>
      </c>
      <c r="N26" s="78">
        <f>-39-M26</f>
        <v>-22</v>
      </c>
      <c r="O26" s="78">
        <f>-11-M26-N26</f>
        <v>28</v>
      </c>
      <c r="P26" s="78">
        <f t="shared" si="3"/>
        <v>-17</v>
      </c>
      <c r="Q26" s="103">
        <v>-28</v>
      </c>
      <c r="R26" s="78">
        <v>-9</v>
      </c>
      <c r="S26" s="78">
        <v>9</v>
      </c>
      <c r="T26" s="78">
        <v>0</v>
      </c>
      <c r="U26" s="78">
        <f t="shared" si="0"/>
        <v>22</v>
      </c>
      <c r="V26" s="103">
        <v>22</v>
      </c>
    </row>
    <row r="27" spans="2:22" s="118" customFormat="1" x14ac:dyDescent="0.25">
      <c r="B27" s="117" t="s">
        <v>133</v>
      </c>
      <c r="C27" s="65">
        <v>0</v>
      </c>
      <c r="D27" s="65">
        <v>0</v>
      </c>
      <c r="E27" s="68">
        <v>-172</v>
      </c>
      <c r="F27" s="68">
        <f t="shared" si="1"/>
        <v>-1</v>
      </c>
      <c r="G27" s="103">
        <v>-173</v>
      </c>
      <c r="H27" s="65">
        <v>0</v>
      </c>
      <c r="I27" s="65">
        <v>0</v>
      </c>
      <c r="J27" s="65">
        <v>0</v>
      </c>
      <c r="K27" s="65">
        <f t="shared" si="2"/>
        <v>0</v>
      </c>
      <c r="L27" s="102">
        <v>0</v>
      </c>
      <c r="M27" s="65">
        <v>0</v>
      </c>
      <c r="N27" s="65">
        <v>0</v>
      </c>
      <c r="O27" s="65">
        <v>0</v>
      </c>
      <c r="P27" s="65">
        <f t="shared" si="3"/>
        <v>0</v>
      </c>
      <c r="Q27" s="103">
        <v>0</v>
      </c>
      <c r="R27" s="65">
        <v>0</v>
      </c>
      <c r="S27" s="68">
        <v>0</v>
      </c>
      <c r="T27" s="68">
        <v>0</v>
      </c>
      <c r="U27" s="68">
        <f t="shared" si="0"/>
        <v>0</v>
      </c>
      <c r="V27" s="103">
        <v>0</v>
      </c>
    </row>
    <row r="28" spans="2:22" s="118" customFormat="1" x14ac:dyDescent="0.25">
      <c r="B28" s="117" t="s">
        <v>134</v>
      </c>
      <c r="C28" s="68">
        <v>-30</v>
      </c>
      <c r="D28" s="65">
        <f>-18-C28</f>
        <v>12</v>
      </c>
      <c r="E28" s="68">
        <f>-38-C28-D28</f>
        <v>-20</v>
      </c>
      <c r="F28" s="65">
        <f t="shared" si="1"/>
        <v>422</v>
      </c>
      <c r="G28" s="102">
        <v>384</v>
      </c>
      <c r="H28" s="65">
        <v>109</v>
      </c>
      <c r="I28" s="68">
        <f>-162-H28</f>
        <v>-271</v>
      </c>
      <c r="J28" s="68">
        <f>-451-I28-H28</f>
        <v>-289</v>
      </c>
      <c r="K28" s="65">
        <f t="shared" si="2"/>
        <v>173</v>
      </c>
      <c r="L28" s="103">
        <v>-278</v>
      </c>
      <c r="M28" s="65">
        <v>106</v>
      </c>
      <c r="N28" s="65">
        <f>156-M28</f>
        <v>50</v>
      </c>
      <c r="O28" s="65">
        <f>37-M28-N28</f>
        <v>-119</v>
      </c>
      <c r="P28" s="65">
        <f t="shared" si="3"/>
        <v>83</v>
      </c>
      <c r="Q28" s="103">
        <v>120</v>
      </c>
      <c r="R28" s="68">
        <v>135</v>
      </c>
      <c r="S28" s="68">
        <v>-71</v>
      </c>
      <c r="T28" s="68">
        <v>22</v>
      </c>
      <c r="U28" s="68">
        <f t="shared" si="0"/>
        <v>12</v>
      </c>
      <c r="V28" s="103">
        <v>98</v>
      </c>
    </row>
    <row r="29" spans="2:22" x14ac:dyDescent="0.25">
      <c r="B29" s="113" t="s">
        <v>98</v>
      </c>
      <c r="C29" s="65">
        <v>552</v>
      </c>
      <c r="D29" s="65">
        <f>968-C29</f>
        <v>416</v>
      </c>
      <c r="E29" s="68">
        <f>818-C29-D29</f>
        <v>-150</v>
      </c>
      <c r="F29" s="68">
        <f t="shared" si="1"/>
        <v>-27</v>
      </c>
      <c r="G29" s="102">
        <v>791</v>
      </c>
      <c r="H29" s="65">
        <v>137</v>
      </c>
      <c r="I29" s="68">
        <f>51-H29</f>
        <v>-86</v>
      </c>
      <c r="J29" s="65">
        <f>81-H29-I29</f>
        <v>30</v>
      </c>
      <c r="K29" s="68">
        <f t="shared" si="2"/>
        <v>-400</v>
      </c>
      <c r="L29" s="103">
        <v>-319</v>
      </c>
      <c r="M29" s="68">
        <v>-86</v>
      </c>
      <c r="N29" s="68">
        <f>-58-M29</f>
        <v>28</v>
      </c>
      <c r="O29" s="68">
        <f>-37-M29-N29</f>
        <v>21</v>
      </c>
      <c r="P29" s="68">
        <f t="shared" si="3"/>
        <v>-125</v>
      </c>
      <c r="Q29" s="103">
        <v>-162</v>
      </c>
      <c r="R29" s="65">
        <v>60</v>
      </c>
      <c r="S29" s="65">
        <v>128</v>
      </c>
      <c r="T29" s="65">
        <v>132</v>
      </c>
      <c r="U29" s="65">
        <f t="shared" si="0"/>
        <v>-168</v>
      </c>
      <c r="V29" s="103">
        <v>152</v>
      </c>
    </row>
    <row r="30" spans="2:22" x14ac:dyDescent="0.25">
      <c r="B30" s="113" t="s">
        <v>95</v>
      </c>
      <c r="C30" s="65">
        <v>40</v>
      </c>
      <c r="D30" s="68">
        <f>34-C30</f>
        <v>-6</v>
      </c>
      <c r="E30" s="65">
        <f>166-D30-C30</f>
        <v>132</v>
      </c>
      <c r="F30" s="65">
        <f t="shared" si="1"/>
        <v>87</v>
      </c>
      <c r="G30" s="102">
        <v>253</v>
      </c>
      <c r="H30" s="65">
        <v>212</v>
      </c>
      <c r="I30" s="65">
        <f>314-H30</f>
        <v>102</v>
      </c>
      <c r="J30" s="65">
        <f>347-I30-H30</f>
        <v>33</v>
      </c>
      <c r="K30" s="65">
        <f t="shared" si="2"/>
        <v>175</v>
      </c>
      <c r="L30" s="102">
        <v>522</v>
      </c>
      <c r="M30" s="65">
        <v>81</v>
      </c>
      <c r="N30" s="65">
        <f>106-M30</f>
        <v>25</v>
      </c>
      <c r="O30" s="65">
        <f>100-M30-N30</f>
        <v>-6</v>
      </c>
      <c r="P30" s="65">
        <f t="shared" si="3"/>
        <v>32</v>
      </c>
      <c r="Q30" s="102">
        <v>132</v>
      </c>
      <c r="R30" s="65">
        <v>48</v>
      </c>
      <c r="S30" s="65">
        <v>32</v>
      </c>
      <c r="T30" s="65">
        <v>16</v>
      </c>
      <c r="U30" s="65">
        <f t="shared" si="0"/>
        <v>99</v>
      </c>
      <c r="V30" s="102">
        <v>195</v>
      </c>
    </row>
    <row r="31" spans="2:22" x14ac:dyDescent="0.25">
      <c r="B31" s="113" t="s">
        <v>144</v>
      </c>
      <c r="C31" s="65">
        <v>0</v>
      </c>
      <c r="D31" s="65">
        <v>0</v>
      </c>
      <c r="E31" s="65">
        <v>0</v>
      </c>
      <c r="F31" s="65">
        <v>0</v>
      </c>
      <c r="G31" s="102">
        <v>0</v>
      </c>
      <c r="H31" s="65">
        <v>0</v>
      </c>
      <c r="I31" s="65">
        <v>0</v>
      </c>
      <c r="J31" s="65">
        <v>0</v>
      </c>
      <c r="K31" s="65">
        <v>0</v>
      </c>
      <c r="L31" s="102">
        <v>0</v>
      </c>
      <c r="M31" s="68">
        <v>0</v>
      </c>
      <c r="N31" s="68">
        <f>-147-M31</f>
        <v>-147</v>
      </c>
      <c r="O31" s="68">
        <f>-147-M31-N31</f>
        <v>0</v>
      </c>
      <c r="P31" s="68">
        <f t="shared" si="3"/>
        <v>-153</v>
      </c>
      <c r="Q31" s="103">
        <v>-300</v>
      </c>
      <c r="R31" s="65">
        <v>0</v>
      </c>
      <c r="S31" s="65">
        <v>0</v>
      </c>
      <c r="T31" s="65">
        <v>0</v>
      </c>
      <c r="U31" s="65">
        <f t="shared" si="0"/>
        <v>0</v>
      </c>
      <c r="V31" s="103">
        <v>0</v>
      </c>
    </row>
    <row r="32" spans="2:22" x14ac:dyDescent="0.25">
      <c r="B32" s="113" t="s">
        <v>145</v>
      </c>
      <c r="C32" s="65">
        <v>0</v>
      </c>
      <c r="D32" s="65">
        <v>0</v>
      </c>
      <c r="E32" s="65">
        <v>0</v>
      </c>
      <c r="F32" s="65">
        <v>0</v>
      </c>
      <c r="G32" s="102">
        <v>0</v>
      </c>
      <c r="H32" s="65">
        <v>0</v>
      </c>
      <c r="I32" s="65">
        <v>0</v>
      </c>
      <c r="J32" s="65">
        <v>0</v>
      </c>
      <c r="K32" s="65">
        <v>0</v>
      </c>
      <c r="L32" s="102">
        <v>0</v>
      </c>
      <c r="M32" s="68">
        <v>0</v>
      </c>
      <c r="N32" s="68">
        <f>-92-M32</f>
        <v>-92</v>
      </c>
      <c r="O32" s="68">
        <f>-86-M32-N32</f>
        <v>6</v>
      </c>
      <c r="P32" s="68">
        <f t="shared" si="3"/>
        <v>15</v>
      </c>
      <c r="Q32" s="103">
        <v>-71</v>
      </c>
      <c r="R32" s="68">
        <v>-32</v>
      </c>
      <c r="S32" s="65">
        <v>32</v>
      </c>
      <c r="T32" s="65">
        <v>-20</v>
      </c>
      <c r="U32" s="65">
        <f t="shared" si="0"/>
        <v>109</v>
      </c>
      <c r="V32" s="103">
        <v>89</v>
      </c>
    </row>
    <row r="33" spans="2:22" x14ac:dyDescent="0.25">
      <c r="B33" s="113" t="s">
        <v>148</v>
      </c>
      <c r="C33" s="65">
        <v>0</v>
      </c>
      <c r="D33" s="65">
        <v>0</v>
      </c>
      <c r="E33" s="65">
        <v>0</v>
      </c>
      <c r="F33" s="65">
        <v>0</v>
      </c>
      <c r="G33" s="102">
        <v>0</v>
      </c>
      <c r="H33" s="65">
        <v>0</v>
      </c>
      <c r="I33" s="65">
        <v>0</v>
      </c>
      <c r="J33" s="65">
        <v>0</v>
      </c>
      <c r="K33" s="65">
        <v>0</v>
      </c>
      <c r="L33" s="102">
        <v>0</v>
      </c>
      <c r="M33" s="68">
        <v>0</v>
      </c>
      <c r="N33" s="68">
        <v>0</v>
      </c>
      <c r="O33" s="68">
        <v>0</v>
      </c>
      <c r="P33" s="68">
        <f t="shared" si="3"/>
        <v>-69</v>
      </c>
      <c r="Q33" s="103">
        <v>-69</v>
      </c>
      <c r="R33" s="65">
        <v>0</v>
      </c>
      <c r="S33" s="65">
        <v>0</v>
      </c>
      <c r="T33" s="65">
        <v>0</v>
      </c>
      <c r="U33" s="65">
        <f t="shared" si="0"/>
        <v>0</v>
      </c>
      <c r="V33" s="103">
        <v>0</v>
      </c>
    </row>
    <row r="34" spans="2:22" x14ac:dyDescent="0.25">
      <c r="B34" s="113" t="s">
        <v>188</v>
      </c>
      <c r="C34" s="65">
        <v>0</v>
      </c>
      <c r="D34" s="65">
        <v>0</v>
      </c>
      <c r="E34" s="65">
        <v>0</v>
      </c>
      <c r="F34" s="65">
        <v>0</v>
      </c>
      <c r="G34" s="102">
        <v>0</v>
      </c>
      <c r="H34" s="65">
        <v>0</v>
      </c>
      <c r="I34" s="65">
        <v>0</v>
      </c>
      <c r="J34" s="65">
        <v>0</v>
      </c>
      <c r="K34" s="65">
        <v>0</v>
      </c>
      <c r="L34" s="102">
        <v>0</v>
      </c>
      <c r="M34" s="65">
        <v>0</v>
      </c>
      <c r="N34" s="65">
        <v>0</v>
      </c>
      <c r="O34" s="65">
        <v>0</v>
      </c>
      <c r="P34" s="65">
        <v>0</v>
      </c>
      <c r="Q34" s="102">
        <v>0</v>
      </c>
      <c r="R34" s="68">
        <v>-6772</v>
      </c>
      <c r="S34" s="65">
        <v>0</v>
      </c>
      <c r="T34" s="65">
        <v>0</v>
      </c>
      <c r="U34" s="65">
        <f t="shared" si="0"/>
        <v>0</v>
      </c>
      <c r="V34" s="102">
        <v>-6772</v>
      </c>
    </row>
    <row r="35" spans="2:22" x14ac:dyDescent="0.25">
      <c r="B35" s="119" t="s">
        <v>191</v>
      </c>
      <c r="C35" s="65">
        <v>0</v>
      </c>
      <c r="D35" s="65">
        <v>0</v>
      </c>
      <c r="E35" s="65">
        <v>0</v>
      </c>
      <c r="F35" s="65">
        <v>0</v>
      </c>
      <c r="G35" s="102">
        <v>0</v>
      </c>
      <c r="H35" s="65">
        <v>0</v>
      </c>
      <c r="I35" s="65">
        <v>0</v>
      </c>
      <c r="J35" s="65">
        <v>0</v>
      </c>
      <c r="K35" s="65">
        <v>0</v>
      </c>
      <c r="L35" s="102">
        <v>0</v>
      </c>
      <c r="M35" s="68">
        <v>0</v>
      </c>
      <c r="N35" s="68">
        <v>0</v>
      </c>
      <c r="O35" s="68">
        <v>0</v>
      </c>
      <c r="P35" s="68">
        <f t="shared" ref="P35" si="4">Q35-SUM(M35:O35)</f>
        <v>-498</v>
      </c>
      <c r="Q35" s="103">
        <v>-498</v>
      </c>
      <c r="R35" s="68">
        <v>-585</v>
      </c>
      <c r="S35" s="68">
        <v>-117</v>
      </c>
      <c r="T35" s="68">
        <v>-81</v>
      </c>
      <c r="U35" s="68">
        <f t="shared" si="0"/>
        <v>36</v>
      </c>
      <c r="V35" s="103">
        <v>-747</v>
      </c>
    </row>
    <row r="36" spans="2:22" x14ac:dyDescent="0.25">
      <c r="B36" s="113" t="s">
        <v>94</v>
      </c>
      <c r="C36" s="68">
        <v>-3</v>
      </c>
      <c r="D36" s="68">
        <f>-5-C36</f>
        <v>-2</v>
      </c>
      <c r="E36" s="65">
        <f>-3-D36-C36</f>
        <v>2</v>
      </c>
      <c r="F36" s="65">
        <f t="shared" si="1"/>
        <v>1</v>
      </c>
      <c r="G36" s="103">
        <v>-2</v>
      </c>
      <c r="H36" s="65">
        <v>4</v>
      </c>
      <c r="I36" s="68">
        <f>3-H36</f>
        <v>-1</v>
      </c>
      <c r="J36" s="65">
        <f>8-I36-H36</f>
        <v>5</v>
      </c>
      <c r="K36" s="65">
        <f t="shared" si="2"/>
        <v>0</v>
      </c>
      <c r="L36" s="102">
        <v>8</v>
      </c>
      <c r="M36" s="68">
        <v>0</v>
      </c>
      <c r="N36" s="68">
        <f>6-M36</f>
        <v>6</v>
      </c>
      <c r="O36" s="68">
        <f>5-M36-N36</f>
        <v>-1</v>
      </c>
      <c r="P36" s="68">
        <f t="shared" si="3"/>
        <v>-5</v>
      </c>
      <c r="Q36" s="102">
        <v>0</v>
      </c>
      <c r="R36" s="65">
        <v>0</v>
      </c>
      <c r="S36" s="65">
        <v>0</v>
      </c>
      <c r="T36" s="65">
        <v>0</v>
      </c>
      <c r="U36" s="65">
        <f t="shared" si="0"/>
        <v>0</v>
      </c>
      <c r="V36" s="102">
        <v>0</v>
      </c>
    </row>
    <row r="37" spans="2:22" x14ac:dyDescent="0.25">
      <c r="B37" s="113"/>
      <c r="C37" s="79">
        <f t="shared" ref="C37:O37" si="5">SUM(C9:C36)</f>
        <v>810</v>
      </c>
      <c r="D37" s="79">
        <f t="shared" si="5"/>
        <v>1294</v>
      </c>
      <c r="E37" s="79">
        <f t="shared" si="5"/>
        <v>1117</v>
      </c>
      <c r="F37" s="79">
        <f t="shared" si="5"/>
        <v>948</v>
      </c>
      <c r="G37" s="104">
        <f t="shared" si="5"/>
        <v>4169</v>
      </c>
      <c r="H37" s="79">
        <f t="shared" si="5"/>
        <v>832</v>
      </c>
      <c r="I37" s="79">
        <f t="shared" si="5"/>
        <v>746</v>
      </c>
      <c r="J37" s="79">
        <f t="shared" si="5"/>
        <v>893</v>
      </c>
      <c r="K37" s="79">
        <f t="shared" si="5"/>
        <v>1223</v>
      </c>
      <c r="L37" s="104">
        <f t="shared" si="5"/>
        <v>3694</v>
      </c>
      <c r="M37" s="79">
        <f t="shared" si="5"/>
        <v>807</v>
      </c>
      <c r="N37" s="79">
        <f t="shared" si="5"/>
        <v>945</v>
      </c>
      <c r="O37" s="79">
        <f t="shared" si="5"/>
        <v>848</v>
      </c>
      <c r="P37" s="79">
        <f t="shared" ref="P37:Q37" si="6">SUM(P9:P36)</f>
        <v>688</v>
      </c>
      <c r="Q37" s="104">
        <f t="shared" si="6"/>
        <v>3288</v>
      </c>
      <c r="R37" s="79">
        <f>SUM(R9:R36)</f>
        <v>385</v>
      </c>
      <c r="S37" s="79">
        <f>SUM(S9:S36)</f>
        <v>1083</v>
      </c>
      <c r="T37" s="79">
        <f>SUM(T9:T36)</f>
        <v>1069</v>
      </c>
      <c r="U37" s="79">
        <f t="shared" si="0"/>
        <v>916</v>
      </c>
      <c r="V37" s="104">
        <f t="shared" ref="V37" si="7">SUM(V9:V36)</f>
        <v>3453</v>
      </c>
    </row>
    <row r="38" spans="2:22" x14ac:dyDescent="0.25">
      <c r="B38" s="110" t="s">
        <v>96</v>
      </c>
      <c r="C38" s="65"/>
      <c r="D38" s="65"/>
      <c r="E38" s="65"/>
      <c r="F38" s="65"/>
      <c r="G38" s="102"/>
      <c r="H38" s="65"/>
      <c r="I38" s="65"/>
      <c r="J38" s="65"/>
      <c r="K38" s="65"/>
      <c r="L38" s="102"/>
      <c r="M38" s="65"/>
      <c r="N38" s="65"/>
      <c r="O38" s="65"/>
      <c r="P38" s="65"/>
      <c r="Q38" s="102"/>
      <c r="R38" s="65"/>
      <c r="S38" s="65"/>
      <c r="T38" s="65"/>
      <c r="U38" s="65"/>
      <c r="V38" s="102"/>
    </row>
    <row r="39" spans="2:22" x14ac:dyDescent="0.25">
      <c r="B39" s="113" t="s">
        <v>97</v>
      </c>
      <c r="C39" s="65">
        <v>1389</v>
      </c>
      <c r="D39" s="65">
        <f>1701-C39</f>
        <v>312</v>
      </c>
      <c r="E39" s="68">
        <f>1101-C39-D39</f>
        <v>-600</v>
      </c>
      <c r="F39" s="65">
        <f t="shared" ref="F39:F45" si="8">G39-SUM(C39:E39)</f>
        <v>653</v>
      </c>
      <c r="G39" s="102">
        <v>1754</v>
      </c>
      <c r="H39" s="65">
        <v>76</v>
      </c>
      <c r="I39" s="68">
        <f>-277-H39</f>
        <v>-353</v>
      </c>
      <c r="J39" s="65">
        <f>-254-H39-I39</f>
        <v>23</v>
      </c>
      <c r="K39" s="65">
        <f t="shared" ref="K39:K45" si="9">L39-SUM(H39:J39)</f>
        <v>696</v>
      </c>
      <c r="L39" s="102">
        <v>442</v>
      </c>
      <c r="M39" s="68">
        <v>562</v>
      </c>
      <c r="N39" s="68">
        <f>921-M39</f>
        <v>359</v>
      </c>
      <c r="O39" s="68">
        <f>581-N39-M39</f>
        <v>-340</v>
      </c>
      <c r="P39" s="68">
        <f t="shared" ref="P39:P45" si="10">Q39-SUM(M39:O39)</f>
        <v>57</v>
      </c>
      <c r="Q39" s="102">
        <v>638</v>
      </c>
      <c r="R39" s="68">
        <v>-302</v>
      </c>
      <c r="S39" s="68">
        <v>-958</v>
      </c>
      <c r="T39" s="68">
        <v>995</v>
      </c>
      <c r="U39" s="68">
        <f t="shared" si="0"/>
        <v>-430</v>
      </c>
      <c r="V39" s="102">
        <v>-695</v>
      </c>
    </row>
    <row r="40" spans="2:22" x14ac:dyDescent="0.25">
      <c r="B40" s="113" t="s">
        <v>98</v>
      </c>
      <c r="C40" s="65">
        <v>9</v>
      </c>
      <c r="D40" s="65">
        <f>13-C40</f>
        <v>4</v>
      </c>
      <c r="E40" s="68">
        <f>-21-D40-C40</f>
        <v>-34</v>
      </c>
      <c r="F40" s="68">
        <f t="shared" si="8"/>
        <v>-51</v>
      </c>
      <c r="G40" s="103">
        <v>-72</v>
      </c>
      <c r="H40" s="68">
        <v>-37</v>
      </c>
      <c r="I40" s="68">
        <f>-58-H40</f>
        <v>-21</v>
      </c>
      <c r="J40" s="68">
        <f>-145-H40-I40</f>
        <v>-87</v>
      </c>
      <c r="K40" s="68">
        <f t="shared" si="9"/>
        <v>-57</v>
      </c>
      <c r="L40" s="103">
        <v>-202</v>
      </c>
      <c r="M40" s="68">
        <v>-60</v>
      </c>
      <c r="N40" s="68">
        <f>-58-M40</f>
        <v>2</v>
      </c>
      <c r="O40" s="68">
        <f>-37-M40-N40</f>
        <v>21</v>
      </c>
      <c r="P40" s="68">
        <f t="shared" si="10"/>
        <v>-55</v>
      </c>
      <c r="Q40" s="103">
        <v>-92</v>
      </c>
      <c r="R40" s="65">
        <v>3</v>
      </c>
      <c r="S40" s="68">
        <v>-40</v>
      </c>
      <c r="T40" s="68">
        <v>-76</v>
      </c>
      <c r="U40" s="68">
        <f t="shared" si="0"/>
        <v>249</v>
      </c>
      <c r="V40" s="103">
        <v>136</v>
      </c>
    </row>
    <row r="41" spans="2:22" x14ac:dyDescent="0.25">
      <c r="B41" s="113" t="s">
        <v>100</v>
      </c>
      <c r="C41" s="65">
        <v>379</v>
      </c>
      <c r="D41" s="68">
        <f>362-C41</f>
        <v>-17</v>
      </c>
      <c r="E41" s="68">
        <f>244-C41-D41</f>
        <v>-118</v>
      </c>
      <c r="F41" s="65">
        <f t="shared" si="8"/>
        <v>278</v>
      </c>
      <c r="G41" s="102">
        <v>522</v>
      </c>
      <c r="H41" s="68">
        <v>-172</v>
      </c>
      <c r="I41" s="68">
        <f>-444-H41</f>
        <v>-272</v>
      </c>
      <c r="J41" s="68">
        <f>-779-I41-H41</f>
        <v>-335</v>
      </c>
      <c r="K41" s="65">
        <f t="shared" si="9"/>
        <v>359</v>
      </c>
      <c r="L41" s="103">
        <v>-420</v>
      </c>
      <c r="M41" s="65">
        <v>-481</v>
      </c>
      <c r="N41" s="65">
        <f>-781-M41</f>
        <v>-300</v>
      </c>
      <c r="O41" s="65">
        <f>-906-M41-N41</f>
        <v>-125</v>
      </c>
      <c r="P41" s="65">
        <f t="shared" si="10"/>
        <v>738</v>
      </c>
      <c r="Q41" s="103">
        <v>-168</v>
      </c>
      <c r="R41" s="68">
        <v>-137</v>
      </c>
      <c r="S41" s="68">
        <v>-309</v>
      </c>
      <c r="T41" s="68">
        <v>186</v>
      </c>
      <c r="U41" s="68">
        <f t="shared" si="0"/>
        <v>593</v>
      </c>
      <c r="V41" s="103">
        <v>333</v>
      </c>
    </row>
    <row r="42" spans="2:22" x14ac:dyDescent="0.25">
      <c r="B42" s="113" t="s">
        <v>99</v>
      </c>
      <c r="C42" s="68">
        <v>-64</v>
      </c>
      <c r="D42" s="65">
        <f>224-C42</f>
        <v>288</v>
      </c>
      <c r="E42" s="68">
        <f>216-D42-C42</f>
        <v>-8</v>
      </c>
      <c r="F42" s="65">
        <f t="shared" si="8"/>
        <v>106</v>
      </c>
      <c r="G42" s="102">
        <v>322</v>
      </c>
      <c r="H42" s="68">
        <v>-53</v>
      </c>
      <c r="I42" s="65">
        <f>17-H42</f>
        <v>70</v>
      </c>
      <c r="J42" s="65">
        <f>115-I42-H42</f>
        <v>98</v>
      </c>
      <c r="K42" s="68">
        <f t="shared" si="9"/>
        <v>-245</v>
      </c>
      <c r="L42" s="103">
        <v>-130</v>
      </c>
      <c r="M42" s="65">
        <v>-257</v>
      </c>
      <c r="N42" s="65">
        <f>-588-M42</f>
        <v>-331</v>
      </c>
      <c r="O42" s="65">
        <f>-633-M42-N42</f>
        <v>-45</v>
      </c>
      <c r="P42" s="65">
        <f t="shared" si="10"/>
        <v>340</v>
      </c>
      <c r="Q42" s="103">
        <v>-293</v>
      </c>
      <c r="R42" s="68">
        <v>-199</v>
      </c>
      <c r="S42" s="68">
        <v>-14</v>
      </c>
      <c r="T42" s="68">
        <v>-13</v>
      </c>
      <c r="U42" s="68">
        <f t="shared" si="0"/>
        <v>19</v>
      </c>
      <c r="V42" s="103">
        <v>-207</v>
      </c>
    </row>
    <row r="43" spans="2:22" x14ac:dyDescent="0.25">
      <c r="B43" s="113" t="s">
        <v>132</v>
      </c>
      <c r="C43" s="65">
        <v>150</v>
      </c>
      <c r="D43" s="65">
        <f>253-C43</f>
        <v>103</v>
      </c>
      <c r="E43" s="65">
        <f>288-C43-D43</f>
        <v>35</v>
      </c>
      <c r="F43" s="68">
        <f t="shared" si="8"/>
        <v>-117</v>
      </c>
      <c r="G43" s="102">
        <v>171</v>
      </c>
      <c r="H43" s="65">
        <v>46</v>
      </c>
      <c r="I43" s="65">
        <f>108-H43</f>
        <v>62</v>
      </c>
      <c r="J43" s="68">
        <f>45-H43-I43</f>
        <v>-63</v>
      </c>
      <c r="K43" s="68">
        <f t="shared" si="9"/>
        <v>-33</v>
      </c>
      <c r="L43" s="102">
        <v>12</v>
      </c>
      <c r="M43" s="65">
        <v>80</v>
      </c>
      <c r="N43" s="65">
        <f>-40-M43</f>
        <v>-120</v>
      </c>
      <c r="O43" s="65">
        <f>-267-N43-M43</f>
        <v>-227</v>
      </c>
      <c r="P43" s="65">
        <f t="shared" si="10"/>
        <v>5</v>
      </c>
      <c r="Q43" s="103">
        <v>-262</v>
      </c>
      <c r="R43" s="68">
        <v>-62</v>
      </c>
      <c r="S43" s="68">
        <v>-201</v>
      </c>
      <c r="T43" s="68">
        <v>219</v>
      </c>
      <c r="U43" s="68">
        <f t="shared" si="0"/>
        <v>-450</v>
      </c>
      <c r="V43" s="103">
        <v>-494</v>
      </c>
    </row>
    <row r="44" spans="2:22" x14ac:dyDescent="0.25">
      <c r="B44" s="113" t="s">
        <v>101</v>
      </c>
      <c r="C44" s="68">
        <v>-113</v>
      </c>
      <c r="D44" s="68">
        <f>-193-C44</f>
        <v>-80</v>
      </c>
      <c r="E44" s="65">
        <f>-154-C44-D44</f>
        <v>39</v>
      </c>
      <c r="F44" s="65">
        <f t="shared" si="8"/>
        <v>474</v>
      </c>
      <c r="G44" s="102">
        <v>320</v>
      </c>
      <c r="H44" s="65">
        <v>24</v>
      </c>
      <c r="I44" s="65">
        <f>344-H44</f>
        <v>320</v>
      </c>
      <c r="J44" s="65">
        <f>441-H44-I44</f>
        <v>97</v>
      </c>
      <c r="K44" s="68">
        <f t="shared" si="9"/>
        <v>-46</v>
      </c>
      <c r="L44" s="102">
        <v>395</v>
      </c>
      <c r="M44" s="65">
        <v>-79</v>
      </c>
      <c r="N44" s="65">
        <f>-180-M44</f>
        <v>-101</v>
      </c>
      <c r="O44" s="65">
        <f>-173-M44-N44</f>
        <v>7</v>
      </c>
      <c r="P44" s="65">
        <f t="shared" si="10"/>
        <v>156</v>
      </c>
      <c r="Q44" s="103">
        <v>-17</v>
      </c>
      <c r="R44" s="68">
        <v>-113</v>
      </c>
      <c r="S44" s="68">
        <v>-3</v>
      </c>
      <c r="T44" s="68">
        <v>-106</v>
      </c>
      <c r="U44" s="68">
        <f t="shared" si="0"/>
        <v>264</v>
      </c>
      <c r="V44" s="103">
        <v>42</v>
      </c>
    </row>
    <row r="45" spans="2:22" x14ac:dyDescent="0.25">
      <c r="B45" s="113" t="s">
        <v>195</v>
      </c>
      <c r="C45" s="65">
        <v>5</v>
      </c>
      <c r="D45" s="65">
        <f>52-C45</f>
        <v>47</v>
      </c>
      <c r="E45" s="65">
        <f>74-C45-D45</f>
        <v>22</v>
      </c>
      <c r="F45" s="68">
        <f t="shared" si="8"/>
        <v>-185</v>
      </c>
      <c r="G45" s="103">
        <v>-111</v>
      </c>
      <c r="H45" s="65">
        <v>252</v>
      </c>
      <c r="I45" s="68">
        <f>236-H45</f>
        <v>-16</v>
      </c>
      <c r="J45" s="65">
        <f>471-I45-H45</f>
        <v>235</v>
      </c>
      <c r="K45" s="68">
        <f t="shared" si="9"/>
        <v>-829</v>
      </c>
      <c r="L45" s="103">
        <v>-358</v>
      </c>
      <c r="M45" s="65">
        <v>-180</v>
      </c>
      <c r="N45" s="65">
        <f>52-M45</f>
        <v>232</v>
      </c>
      <c r="O45" s="65">
        <f>-38-M45-N45</f>
        <v>-90</v>
      </c>
      <c r="P45" s="65">
        <f t="shared" si="10"/>
        <v>88</v>
      </c>
      <c r="Q45" s="102">
        <v>50</v>
      </c>
      <c r="R45" s="65">
        <v>264</v>
      </c>
      <c r="S45" s="68">
        <v>-114</v>
      </c>
      <c r="T45" s="68">
        <v>-153</v>
      </c>
      <c r="U45" s="68">
        <f t="shared" si="0"/>
        <v>260</v>
      </c>
      <c r="V45" s="102">
        <v>257</v>
      </c>
    </row>
    <row r="46" spans="2:22" x14ac:dyDescent="0.25">
      <c r="B46" s="110" t="s">
        <v>102</v>
      </c>
      <c r="C46" s="65"/>
      <c r="D46" s="65"/>
      <c r="E46" s="65"/>
      <c r="F46" s="65"/>
      <c r="G46" s="102"/>
      <c r="H46" s="65"/>
      <c r="I46" s="65"/>
      <c r="J46" s="65"/>
      <c r="K46" s="65"/>
      <c r="L46" s="102"/>
      <c r="M46" s="65"/>
      <c r="N46" s="65"/>
      <c r="O46" s="65"/>
      <c r="P46" s="65"/>
      <c r="Q46" s="102"/>
      <c r="R46" s="65"/>
      <c r="S46" s="65"/>
      <c r="T46" s="65"/>
      <c r="U46" s="65">
        <f t="shared" si="0"/>
        <v>0</v>
      </c>
      <c r="V46" s="102"/>
    </row>
    <row r="47" spans="2:22" x14ac:dyDescent="0.25">
      <c r="B47" s="113" t="s">
        <v>103</v>
      </c>
      <c r="C47" s="68">
        <v>-195</v>
      </c>
      <c r="D47" s="68">
        <f>-305-C47</f>
        <v>-110</v>
      </c>
      <c r="E47" s="68">
        <f>-423-C47-D47</f>
        <v>-118</v>
      </c>
      <c r="F47" s="65">
        <f t="shared" ref="F47:F51" si="11">G47-SUM(C47:E47)</f>
        <v>123</v>
      </c>
      <c r="G47" s="103">
        <v>-300</v>
      </c>
      <c r="H47" s="68">
        <v>-376</v>
      </c>
      <c r="I47" s="65">
        <f>83-H47</f>
        <v>459</v>
      </c>
      <c r="J47" s="65">
        <f>136-I47-H47</f>
        <v>53</v>
      </c>
      <c r="K47" s="65">
        <f>L47-SUM(H47:J47)</f>
        <v>494</v>
      </c>
      <c r="L47" s="102">
        <v>630</v>
      </c>
      <c r="M47" s="65">
        <v>-183</v>
      </c>
      <c r="N47" s="65">
        <f>449-M47</f>
        <v>632</v>
      </c>
      <c r="O47" s="65">
        <f>642-M47-N47</f>
        <v>193</v>
      </c>
      <c r="P47" s="65">
        <f>Q47-SUM(M47:O47)</f>
        <v>136</v>
      </c>
      <c r="Q47" s="102">
        <v>778</v>
      </c>
      <c r="R47" s="68">
        <v>-644</v>
      </c>
      <c r="S47" s="65">
        <v>130</v>
      </c>
      <c r="T47" s="65">
        <v>308</v>
      </c>
      <c r="U47" s="65">
        <f t="shared" si="0"/>
        <v>498</v>
      </c>
      <c r="V47" s="102">
        <v>292</v>
      </c>
    </row>
    <row r="48" spans="2:22" x14ac:dyDescent="0.25">
      <c r="B48" s="113" t="s">
        <v>105</v>
      </c>
      <c r="C48" s="68">
        <v>-259</v>
      </c>
      <c r="D48" s="65">
        <f>-195-C48</f>
        <v>64</v>
      </c>
      <c r="E48" s="65">
        <f>-59-D48-C48</f>
        <v>136</v>
      </c>
      <c r="F48" s="65">
        <f t="shared" si="11"/>
        <v>39</v>
      </c>
      <c r="G48" s="103">
        <f>-20</f>
        <v>-20</v>
      </c>
      <c r="H48" s="68">
        <v>-322</v>
      </c>
      <c r="I48" s="65">
        <f>-185-H48</f>
        <v>137</v>
      </c>
      <c r="J48" s="65">
        <f>-27-H48-I48</f>
        <v>158</v>
      </c>
      <c r="K48" s="65">
        <f>L48-SUM(H48:J48)</f>
        <v>74</v>
      </c>
      <c r="L48" s="102">
        <v>47</v>
      </c>
      <c r="M48" s="68">
        <v>-340</v>
      </c>
      <c r="N48" s="68">
        <f>-153-M48</f>
        <v>187</v>
      </c>
      <c r="O48" s="68">
        <f>-8-M48-N48</f>
        <v>145</v>
      </c>
      <c r="P48" s="68">
        <f>Q48-SUM(M48:O48)</f>
        <v>-42</v>
      </c>
      <c r="Q48" s="103">
        <v>-50</v>
      </c>
      <c r="R48" s="68">
        <v>-258</v>
      </c>
      <c r="S48" s="65">
        <v>114</v>
      </c>
      <c r="T48" s="65">
        <v>138</v>
      </c>
      <c r="U48" s="65">
        <f t="shared" si="0"/>
        <v>-3</v>
      </c>
      <c r="V48" s="103">
        <v>-9</v>
      </c>
    </row>
    <row r="49" spans="2:22" x14ac:dyDescent="0.25">
      <c r="B49" s="113" t="s">
        <v>104</v>
      </c>
      <c r="C49" s="65">
        <v>43</v>
      </c>
      <c r="D49" s="65">
        <f>85-C49</f>
        <v>42</v>
      </c>
      <c r="E49" s="65">
        <f>96-C49-D49</f>
        <v>11</v>
      </c>
      <c r="F49" s="65">
        <f t="shared" si="11"/>
        <v>9</v>
      </c>
      <c r="G49" s="102">
        <v>105</v>
      </c>
      <c r="H49" s="65">
        <v>12</v>
      </c>
      <c r="I49" s="68">
        <f>-23-H49</f>
        <v>-35</v>
      </c>
      <c r="J49" s="68">
        <f>-58-H49-I49</f>
        <v>-35</v>
      </c>
      <c r="K49" s="68">
        <f>L49-SUM(H49:J49)</f>
        <v>-26</v>
      </c>
      <c r="L49" s="103">
        <v>-84</v>
      </c>
      <c r="M49" s="68">
        <v>-14</v>
      </c>
      <c r="N49" s="68">
        <f>123-M49</f>
        <v>137</v>
      </c>
      <c r="O49" s="68">
        <f>189-M49-N49</f>
        <v>66</v>
      </c>
      <c r="P49" s="68">
        <f>Q49-SUM(M49:O49)</f>
        <v>-202</v>
      </c>
      <c r="Q49" s="103">
        <v>-13</v>
      </c>
      <c r="R49" s="68">
        <v>-2</v>
      </c>
      <c r="S49" s="68">
        <v>-13</v>
      </c>
      <c r="T49" s="68">
        <v>2</v>
      </c>
      <c r="U49" s="68">
        <f t="shared" si="0"/>
        <v>-4</v>
      </c>
      <c r="V49" s="103">
        <v>-17</v>
      </c>
    </row>
    <row r="50" spans="2:22" x14ac:dyDescent="0.25">
      <c r="B50" s="113" t="s">
        <v>106</v>
      </c>
      <c r="C50" s="68">
        <v>-89</v>
      </c>
      <c r="D50" s="68">
        <f>-170-C50</f>
        <v>-81</v>
      </c>
      <c r="E50" s="68">
        <f>-220-C50-D50</f>
        <v>-50</v>
      </c>
      <c r="F50" s="65">
        <f t="shared" si="11"/>
        <v>118</v>
      </c>
      <c r="G50" s="103">
        <v>-102</v>
      </c>
      <c r="H50" s="65">
        <v>91</v>
      </c>
      <c r="I50" s="65">
        <f>121-H50</f>
        <v>30</v>
      </c>
      <c r="J50" s="65">
        <f>374-I50-H50</f>
        <v>253</v>
      </c>
      <c r="K50" s="68">
        <f>L50-SUM(H50:J50)</f>
        <v>-214</v>
      </c>
      <c r="L50" s="102">
        <v>160</v>
      </c>
      <c r="M50" s="68">
        <v>-169</v>
      </c>
      <c r="N50" s="68">
        <f>-20-M50</f>
        <v>149</v>
      </c>
      <c r="O50" s="68">
        <f>71-M50-N50</f>
        <v>91</v>
      </c>
      <c r="P50" s="68">
        <f>Q50-SUM(M50:O50)</f>
        <v>-40</v>
      </c>
      <c r="Q50" s="102">
        <v>31</v>
      </c>
      <c r="R50" s="65">
        <v>10</v>
      </c>
      <c r="S50" s="65">
        <v>3</v>
      </c>
      <c r="T50" s="65">
        <v>9</v>
      </c>
      <c r="U50" s="65">
        <f t="shared" si="0"/>
        <v>-73</v>
      </c>
      <c r="V50" s="102">
        <v>-51</v>
      </c>
    </row>
    <row r="51" spans="2:22" x14ac:dyDescent="0.25">
      <c r="B51" s="113" t="s">
        <v>107</v>
      </c>
      <c r="C51" s="68">
        <f>-253-77</f>
        <v>-330</v>
      </c>
      <c r="D51" s="68">
        <f>-607-C51</f>
        <v>-277</v>
      </c>
      <c r="E51" s="68">
        <f>-615-C51-D51</f>
        <v>-8</v>
      </c>
      <c r="F51" s="65">
        <f t="shared" si="11"/>
        <v>919</v>
      </c>
      <c r="G51" s="102">
        <v>304</v>
      </c>
      <c r="H51" s="68">
        <f>-58-326</f>
        <v>-384</v>
      </c>
      <c r="I51" s="68">
        <f>-734-H51</f>
        <v>-350</v>
      </c>
      <c r="J51" s="68">
        <f>-184-I51-H51-90-584</f>
        <v>-124</v>
      </c>
      <c r="K51" s="65">
        <f>L51-SUM(H51:J51)</f>
        <v>1029</v>
      </c>
      <c r="L51" s="102">
        <v>171</v>
      </c>
      <c r="M51" s="68">
        <v>314</v>
      </c>
      <c r="N51" s="68">
        <f>-34-M51</f>
        <v>-348</v>
      </c>
      <c r="O51" s="68">
        <f>445-M51-N51</f>
        <v>479</v>
      </c>
      <c r="P51" s="68">
        <f>Q51-SUM(M51:O51)</f>
        <v>-245</v>
      </c>
      <c r="Q51" s="102">
        <v>200</v>
      </c>
      <c r="R51" s="68">
        <v>-403</v>
      </c>
      <c r="S51" s="65">
        <v>42</v>
      </c>
      <c r="T51" s="65">
        <v>113</v>
      </c>
      <c r="U51" s="65">
        <f t="shared" si="0"/>
        <v>-254</v>
      </c>
      <c r="V51" s="102">
        <v>-502</v>
      </c>
    </row>
    <row r="52" spans="2:22" s="112" customFormat="1" x14ac:dyDescent="0.25">
      <c r="B52" s="110" t="s">
        <v>108</v>
      </c>
      <c r="C52" s="76">
        <f t="shared" ref="C52:Q52" si="12">SUM(C37:C51)</f>
        <v>1735</v>
      </c>
      <c r="D52" s="76">
        <f t="shared" si="12"/>
        <v>1589</v>
      </c>
      <c r="E52" s="76">
        <f t="shared" si="12"/>
        <v>424</v>
      </c>
      <c r="F52" s="76">
        <f t="shared" si="12"/>
        <v>3314</v>
      </c>
      <c r="G52" s="101">
        <f t="shared" si="12"/>
        <v>7062</v>
      </c>
      <c r="H52" s="67">
        <f t="shared" si="12"/>
        <v>-11</v>
      </c>
      <c r="I52" s="76">
        <f t="shared" si="12"/>
        <v>777</v>
      </c>
      <c r="J52" s="76">
        <f t="shared" si="12"/>
        <v>1166</v>
      </c>
      <c r="K52" s="76">
        <f t="shared" si="12"/>
        <v>2425</v>
      </c>
      <c r="L52" s="101">
        <f t="shared" si="12"/>
        <v>4357</v>
      </c>
      <c r="M52" s="76">
        <f t="shared" si="12"/>
        <v>0</v>
      </c>
      <c r="N52" s="76">
        <f t="shared" si="12"/>
        <v>1443</v>
      </c>
      <c r="O52" s="76">
        <f t="shared" si="12"/>
        <v>1023</v>
      </c>
      <c r="P52" s="76">
        <f t="shared" si="12"/>
        <v>1624</v>
      </c>
      <c r="Q52" s="101">
        <f t="shared" si="12"/>
        <v>4090</v>
      </c>
      <c r="R52" s="67">
        <f t="shared" ref="R52:S52" si="13">SUM(R37:R51)</f>
        <v>-1458</v>
      </c>
      <c r="S52" s="67">
        <f t="shared" si="13"/>
        <v>-280</v>
      </c>
      <c r="T52" s="67">
        <f t="shared" ref="T52" si="14">SUM(T37:T51)</f>
        <v>2691</v>
      </c>
      <c r="U52" s="67">
        <f>SUM(U37:U51)</f>
        <v>1585</v>
      </c>
      <c r="V52" s="101">
        <f>SUM(V37:V51)</f>
        <v>2538</v>
      </c>
    </row>
    <row r="53" spans="2:22" x14ac:dyDescent="0.25">
      <c r="B53" s="110"/>
      <c r="C53" s="65"/>
      <c r="D53" s="65"/>
      <c r="E53" s="65"/>
      <c r="F53" s="65"/>
      <c r="G53" s="102"/>
      <c r="H53" s="65"/>
      <c r="I53" s="65"/>
      <c r="J53" s="65"/>
      <c r="K53" s="65"/>
      <c r="L53" s="102"/>
      <c r="M53" s="65"/>
      <c r="N53" s="65"/>
      <c r="O53" s="65"/>
      <c r="P53" s="65"/>
      <c r="Q53" s="102"/>
      <c r="R53" s="65"/>
      <c r="S53" s="65"/>
      <c r="T53" s="65"/>
      <c r="U53" s="65"/>
      <c r="V53" s="102"/>
    </row>
    <row r="54" spans="2:22" x14ac:dyDescent="0.25">
      <c r="B54" s="113" t="s">
        <v>128</v>
      </c>
      <c r="C54" s="68">
        <v>-332</v>
      </c>
      <c r="D54" s="68">
        <f>-946-C54</f>
        <v>-614</v>
      </c>
      <c r="E54" s="68">
        <f>-1228-C54-D54</f>
        <v>-282</v>
      </c>
      <c r="F54" s="68">
        <f t="shared" ref="F54:F55" si="15">G54-SUM(C54:E54)</f>
        <v>-551</v>
      </c>
      <c r="G54" s="103">
        <v>-1779</v>
      </c>
      <c r="H54" s="68">
        <v>-325</v>
      </c>
      <c r="I54" s="68">
        <f>-728-H54</f>
        <v>-403</v>
      </c>
      <c r="J54" s="68">
        <f>-1195-I54-H54</f>
        <v>-467</v>
      </c>
      <c r="K54" s="68">
        <f>L54-SUM(H54:J54)</f>
        <v>-363</v>
      </c>
      <c r="L54" s="103">
        <v>-1558</v>
      </c>
      <c r="M54" s="68">
        <v>-291</v>
      </c>
      <c r="N54" s="68">
        <f>-725-M54</f>
        <v>-434</v>
      </c>
      <c r="O54" s="68">
        <f>-1002-M54-N54</f>
        <v>-277</v>
      </c>
      <c r="P54" s="68">
        <f>Q54-SUM(M54:O54)</f>
        <v>-459</v>
      </c>
      <c r="Q54" s="103">
        <v>-1461</v>
      </c>
      <c r="R54" s="68">
        <v>-293</v>
      </c>
      <c r="S54" s="68">
        <v>-363</v>
      </c>
      <c r="T54" s="68">
        <v>-227</v>
      </c>
      <c r="U54" s="68">
        <f t="shared" si="0"/>
        <v>-369</v>
      </c>
      <c r="V54" s="103">
        <v>-1252</v>
      </c>
    </row>
    <row r="55" spans="2:22" x14ac:dyDescent="0.25">
      <c r="B55" s="113" t="s">
        <v>109</v>
      </c>
      <c r="C55" s="68">
        <v>-149</v>
      </c>
      <c r="D55" s="68">
        <f>-239-C55</f>
        <v>-90</v>
      </c>
      <c r="E55" s="68">
        <f>-347-C55-D55</f>
        <v>-108</v>
      </c>
      <c r="F55" s="68">
        <f t="shared" si="15"/>
        <v>-144</v>
      </c>
      <c r="G55" s="103">
        <v>-491</v>
      </c>
      <c r="H55" s="68">
        <v>-152</v>
      </c>
      <c r="I55" s="68">
        <f>-297-H55</f>
        <v>-145</v>
      </c>
      <c r="J55" s="68">
        <f>-408-I55-H55</f>
        <v>-111</v>
      </c>
      <c r="K55" s="68">
        <f>L55-SUM(H55:J55)</f>
        <v>-280</v>
      </c>
      <c r="L55" s="103">
        <v>-688</v>
      </c>
      <c r="M55" s="68">
        <v>-239</v>
      </c>
      <c r="N55" s="68">
        <f>-421-M55</f>
        <v>-182</v>
      </c>
      <c r="O55" s="68">
        <f>-552-M55-N55</f>
        <v>-131</v>
      </c>
      <c r="P55" s="68">
        <f>Q55-SUM(M55:O55)</f>
        <v>-62</v>
      </c>
      <c r="Q55" s="103">
        <v>-614</v>
      </c>
      <c r="R55" s="68">
        <v>35</v>
      </c>
      <c r="S55" s="68">
        <v>-38</v>
      </c>
      <c r="T55" s="68">
        <v>-89</v>
      </c>
      <c r="U55" s="68">
        <f t="shared" si="0"/>
        <v>-97</v>
      </c>
      <c r="V55" s="103">
        <v>-189</v>
      </c>
    </row>
    <row r="56" spans="2:22" s="112" customFormat="1" x14ac:dyDescent="0.25">
      <c r="B56" s="109" t="s">
        <v>110</v>
      </c>
      <c r="C56" s="71">
        <f t="shared" ref="C56:R56" si="16">SUM(C52:C55)</f>
        <v>1254</v>
      </c>
      <c r="D56" s="71">
        <f t="shared" si="16"/>
        <v>885</v>
      </c>
      <c r="E56" s="71">
        <f t="shared" si="16"/>
        <v>34</v>
      </c>
      <c r="F56" s="71">
        <f t="shared" si="16"/>
        <v>2619</v>
      </c>
      <c r="G56" s="105">
        <f t="shared" si="16"/>
        <v>4792</v>
      </c>
      <c r="H56" s="81">
        <f t="shared" si="16"/>
        <v>-488</v>
      </c>
      <c r="I56" s="71">
        <f t="shared" si="16"/>
        <v>229</v>
      </c>
      <c r="J56" s="71">
        <f t="shared" si="16"/>
        <v>588</v>
      </c>
      <c r="K56" s="71">
        <f t="shared" si="16"/>
        <v>1782</v>
      </c>
      <c r="L56" s="105">
        <f t="shared" si="16"/>
        <v>2111</v>
      </c>
      <c r="M56" s="71">
        <f t="shared" si="16"/>
        <v>-530</v>
      </c>
      <c r="N56" s="71">
        <f t="shared" si="16"/>
        <v>827</v>
      </c>
      <c r="O56" s="71">
        <f t="shared" si="16"/>
        <v>615</v>
      </c>
      <c r="P56" s="71">
        <f t="shared" si="16"/>
        <v>1103</v>
      </c>
      <c r="Q56" s="105">
        <f t="shared" si="16"/>
        <v>2015</v>
      </c>
      <c r="R56" s="80">
        <f t="shared" si="16"/>
        <v>-1716</v>
      </c>
      <c r="S56" s="80">
        <f t="shared" ref="S56:T56" si="17">SUM(S52:S55)</f>
        <v>-681</v>
      </c>
      <c r="T56" s="80">
        <f t="shared" si="17"/>
        <v>2375</v>
      </c>
      <c r="U56" s="80">
        <f t="shared" si="0"/>
        <v>1119</v>
      </c>
      <c r="V56" s="105">
        <f t="shared" ref="V56" si="18">SUM(V52:V55)</f>
        <v>1097</v>
      </c>
    </row>
    <row r="57" spans="2:22" x14ac:dyDescent="0.25">
      <c r="B57" s="113"/>
      <c r="C57" s="65"/>
      <c r="D57" s="65"/>
      <c r="E57" s="65"/>
      <c r="F57" s="65"/>
      <c r="G57" s="102"/>
      <c r="H57" s="65"/>
      <c r="I57" s="65"/>
      <c r="J57" s="65"/>
      <c r="K57" s="65"/>
      <c r="L57" s="102"/>
      <c r="M57" s="65"/>
      <c r="N57" s="65"/>
      <c r="O57" s="65"/>
      <c r="P57" s="65"/>
      <c r="Q57" s="102"/>
      <c r="R57" s="65"/>
      <c r="S57" s="65"/>
      <c r="T57" s="65"/>
      <c r="U57" s="65"/>
      <c r="V57" s="102"/>
    </row>
    <row r="58" spans="2:22" x14ac:dyDescent="0.25">
      <c r="B58" s="110" t="s">
        <v>111</v>
      </c>
      <c r="C58" s="65"/>
      <c r="D58" s="65"/>
      <c r="E58" s="65"/>
      <c r="F58" s="65"/>
      <c r="G58" s="102"/>
      <c r="H58" s="65"/>
      <c r="I58" s="65"/>
      <c r="J58" s="65"/>
      <c r="K58" s="65"/>
      <c r="L58" s="102"/>
      <c r="M58" s="65"/>
      <c r="N58" s="65"/>
      <c r="O58" s="65"/>
      <c r="P58" s="65"/>
      <c r="Q58" s="102"/>
      <c r="R58" s="65"/>
      <c r="S58" s="65"/>
      <c r="T58" s="65"/>
      <c r="U58" s="65"/>
      <c r="V58" s="102"/>
    </row>
    <row r="59" spans="2:22" x14ac:dyDescent="0.25">
      <c r="B59" s="113" t="s">
        <v>112</v>
      </c>
      <c r="C59" s="65">
        <v>59</v>
      </c>
      <c r="D59" s="65">
        <f>90-C59</f>
        <v>31</v>
      </c>
      <c r="E59" s="65">
        <f>127-C59-D59</f>
        <v>37</v>
      </c>
      <c r="F59" s="65">
        <f t="shared" ref="F59:F68" si="19">G59-SUM(C59:E59)</f>
        <v>252</v>
      </c>
      <c r="G59" s="102">
        <v>379</v>
      </c>
      <c r="H59" s="68">
        <v>-29</v>
      </c>
      <c r="I59" s="65">
        <f>30-H59</f>
        <v>59</v>
      </c>
      <c r="J59" s="65">
        <f>55-I59-H59</f>
        <v>25</v>
      </c>
      <c r="K59" s="65">
        <f t="shared" ref="K59:K68" si="20">L59-SUM(H59:J59)</f>
        <v>123</v>
      </c>
      <c r="L59" s="102">
        <v>178</v>
      </c>
      <c r="M59" s="65">
        <v>51</v>
      </c>
      <c r="N59" s="65">
        <f>96-M59</f>
        <v>45</v>
      </c>
      <c r="O59" s="65">
        <f>148-M59-N59</f>
        <v>52</v>
      </c>
      <c r="P59" s="65">
        <f t="shared" ref="P59:P68" si="21">Q59-SUM(M59:O59)</f>
        <v>29</v>
      </c>
      <c r="Q59" s="102">
        <v>177</v>
      </c>
      <c r="R59" s="65">
        <v>7</v>
      </c>
      <c r="S59" s="65">
        <v>51</v>
      </c>
      <c r="T59" s="65">
        <v>81</v>
      </c>
      <c r="U59" s="65">
        <f t="shared" si="0"/>
        <v>-7</v>
      </c>
      <c r="V59" s="102">
        <v>132</v>
      </c>
    </row>
    <row r="60" spans="2:22" x14ac:dyDescent="0.25">
      <c r="B60" s="113" t="s">
        <v>140</v>
      </c>
      <c r="C60" s="65">
        <v>0</v>
      </c>
      <c r="D60" s="65">
        <v>0</v>
      </c>
      <c r="E60" s="65">
        <v>0</v>
      </c>
      <c r="F60" s="65">
        <v>0</v>
      </c>
      <c r="G60" s="102">
        <v>0</v>
      </c>
      <c r="H60" s="65">
        <v>0</v>
      </c>
      <c r="I60" s="65">
        <v>0</v>
      </c>
      <c r="J60" s="65">
        <v>0</v>
      </c>
      <c r="K60" s="65">
        <f t="shared" si="20"/>
        <v>1009</v>
      </c>
      <c r="L60" s="102">
        <v>1009</v>
      </c>
      <c r="M60" s="65">
        <v>0</v>
      </c>
      <c r="N60" s="65">
        <v>0</v>
      </c>
      <c r="O60" s="65">
        <v>0</v>
      </c>
      <c r="P60" s="65">
        <f t="shared" si="21"/>
        <v>0</v>
      </c>
      <c r="Q60" s="102">
        <v>0</v>
      </c>
      <c r="R60" s="65">
        <v>0</v>
      </c>
      <c r="S60" s="65">
        <v>0</v>
      </c>
      <c r="T60" s="65">
        <v>0</v>
      </c>
      <c r="U60" s="65">
        <f t="shared" si="0"/>
        <v>0</v>
      </c>
      <c r="V60" s="102">
        <v>0</v>
      </c>
    </row>
    <row r="61" spans="2:22" x14ac:dyDescent="0.25">
      <c r="B61" s="113" t="s">
        <v>139</v>
      </c>
      <c r="C61" s="65">
        <v>0</v>
      </c>
      <c r="D61" s="65">
        <v>0</v>
      </c>
      <c r="E61" s="65">
        <v>0</v>
      </c>
      <c r="F61" s="65">
        <v>0</v>
      </c>
      <c r="G61" s="102">
        <v>0</v>
      </c>
      <c r="H61" s="65">
        <v>0</v>
      </c>
      <c r="I61" s="65">
        <v>0</v>
      </c>
      <c r="J61" s="65">
        <v>0</v>
      </c>
      <c r="K61" s="65">
        <f t="shared" si="20"/>
        <v>753</v>
      </c>
      <c r="L61" s="102">
        <v>753</v>
      </c>
      <c r="M61" s="65">
        <v>0</v>
      </c>
      <c r="N61" s="65">
        <v>0</v>
      </c>
      <c r="O61" s="65">
        <v>0</v>
      </c>
      <c r="P61" s="65">
        <f t="shared" si="21"/>
        <v>0</v>
      </c>
      <c r="Q61" s="102">
        <v>0</v>
      </c>
      <c r="R61" s="65">
        <v>0</v>
      </c>
      <c r="S61" s="65">
        <v>0</v>
      </c>
      <c r="T61" s="65">
        <v>0</v>
      </c>
      <c r="U61" s="65">
        <f t="shared" si="0"/>
        <v>0</v>
      </c>
      <c r="V61" s="102">
        <v>0</v>
      </c>
    </row>
    <row r="62" spans="2:22" x14ac:dyDescent="0.25">
      <c r="B62" s="113" t="s">
        <v>113</v>
      </c>
      <c r="C62" s="65">
        <v>566</v>
      </c>
      <c r="D62" s="65">
        <f>566-C62+11</f>
        <v>11</v>
      </c>
      <c r="E62" s="65">
        <f>566+82-C62-D62</f>
        <v>71</v>
      </c>
      <c r="F62" s="65">
        <f t="shared" si="19"/>
        <v>0</v>
      </c>
      <c r="G62" s="102">
        <f>566+82</f>
        <v>648</v>
      </c>
      <c r="H62" s="65">
        <v>25</v>
      </c>
      <c r="I62" s="65">
        <f>29-H62</f>
        <v>4</v>
      </c>
      <c r="J62" s="65">
        <f>33-I62-H62</f>
        <v>4</v>
      </c>
      <c r="K62" s="65">
        <f t="shared" si="20"/>
        <v>1904</v>
      </c>
      <c r="L62" s="102">
        <v>1937</v>
      </c>
      <c r="M62" s="65">
        <v>31</v>
      </c>
      <c r="N62" s="65">
        <f>31-M62</f>
        <v>0</v>
      </c>
      <c r="O62" s="65">
        <f>54-N62-M62</f>
        <v>23</v>
      </c>
      <c r="P62" s="65">
        <f t="shared" si="21"/>
        <v>365</v>
      </c>
      <c r="Q62" s="102">
        <v>419</v>
      </c>
      <c r="R62" s="65">
        <v>8181</v>
      </c>
      <c r="S62" s="65">
        <v>0</v>
      </c>
      <c r="T62" s="65">
        <v>0</v>
      </c>
      <c r="U62" s="65">
        <f t="shared" si="0"/>
        <v>0</v>
      </c>
      <c r="V62" s="102">
        <v>8181</v>
      </c>
    </row>
    <row r="63" spans="2:22" x14ac:dyDescent="0.25">
      <c r="B63" s="113" t="s">
        <v>114</v>
      </c>
      <c r="C63" s="65">
        <v>3</v>
      </c>
      <c r="D63" s="65">
        <f>190-C63</f>
        <v>187</v>
      </c>
      <c r="E63" s="65">
        <f>208-C63-D63</f>
        <v>18</v>
      </c>
      <c r="F63" s="65">
        <f t="shared" si="19"/>
        <v>37</v>
      </c>
      <c r="G63" s="102">
        <v>245</v>
      </c>
      <c r="H63" s="65">
        <v>22</v>
      </c>
      <c r="I63" s="65">
        <f>226-H63</f>
        <v>204</v>
      </c>
      <c r="J63" s="65">
        <f>252-I63-H63</f>
        <v>26</v>
      </c>
      <c r="K63" s="65">
        <f t="shared" si="20"/>
        <v>288</v>
      </c>
      <c r="L63" s="102">
        <v>540</v>
      </c>
      <c r="M63" s="65">
        <v>20</v>
      </c>
      <c r="N63" s="65">
        <f>152-M63</f>
        <v>132</v>
      </c>
      <c r="O63" s="65">
        <f>144-M63-N63</f>
        <v>-8</v>
      </c>
      <c r="P63" s="65">
        <f t="shared" si="21"/>
        <v>941</v>
      </c>
      <c r="Q63" s="102">
        <v>1085</v>
      </c>
      <c r="R63" s="65">
        <v>0</v>
      </c>
      <c r="S63" s="65">
        <v>9</v>
      </c>
      <c r="T63" s="65">
        <v>26</v>
      </c>
      <c r="U63" s="65">
        <f t="shared" si="0"/>
        <v>511</v>
      </c>
      <c r="V63" s="102">
        <v>546</v>
      </c>
    </row>
    <row r="64" spans="2:22" x14ac:dyDescent="0.25">
      <c r="B64" s="113" t="s">
        <v>146</v>
      </c>
      <c r="C64" s="65">
        <v>0</v>
      </c>
      <c r="D64" s="65">
        <v>0</v>
      </c>
      <c r="E64" s="65">
        <v>0</v>
      </c>
      <c r="F64" s="65">
        <v>0</v>
      </c>
      <c r="G64" s="102">
        <v>0</v>
      </c>
      <c r="H64" s="65">
        <v>0</v>
      </c>
      <c r="I64" s="65">
        <v>0</v>
      </c>
      <c r="J64" s="65">
        <v>0</v>
      </c>
      <c r="K64" s="65">
        <v>0</v>
      </c>
      <c r="L64" s="102">
        <v>0</v>
      </c>
      <c r="M64" s="68">
        <v>0</v>
      </c>
      <c r="N64" s="68">
        <v>0</v>
      </c>
      <c r="O64" s="68">
        <v>-124</v>
      </c>
      <c r="P64" s="68">
        <f t="shared" si="21"/>
        <v>-1</v>
      </c>
      <c r="Q64" s="103">
        <v>-125</v>
      </c>
      <c r="R64" s="68">
        <v>-203</v>
      </c>
      <c r="S64" s="65">
        <v>87</v>
      </c>
      <c r="T64" s="65">
        <v>0</v>
      </c>
      <c r="U64" s="65">
        <f t="shared" si="0"/>
        <v>-40</v>
      </c>
      <c r="V64" s="103">
        <v>-156</v>
      </c>
    </row>
    <row r="65" spans="2:22" x14ac:dyDescent="0.25">
      <c r="B65" s="113" t="s">
        <v>115</v>
      </c>
      <c r="C65" s="68">
        <v>-646</v>
      </c>
      <c r="D65" s="68">
        <f>-1420-C65</f>
        <v>-774</v>
      </c>
      <c r="E65" s="68">
        <f>-2124-D65-C65</f>
        <v>-704</v>
      </c>
      <c r="F65" s="68">
        <f t="shared" si="19"/>
        <v>-902</v>
      </c>
      <c r="G65" s="103">
        <f>-3026</f>
        <v>-3026</v>
      </c>
      <c r="H65" s="68">
        <v>-568</v>
      </c>
      <c r="I65" s="68">
        <f>-1297-H65</f>
        <v>-729</v>
      </c>
      <c r="J65" s="68">
        <f>-1971-I65-H65</f>
        <v>-674</v>
      </c>
      <c r="K65" s="68">
        <f t="shared" si="20"/>
        <v>-1137</v>
      </c>
      <c r="L65" s="103">
        <v>-3108</v>
      </c>
      <c r="M65" s="68">
        <v>-342</v>
      </c>
      <c r="N65" s="68">
        <f>-856-M65</f>
        <v>-514</v>
      </c>
      <c r="O65" s="68">
        <f>-1448-M65-N65</f>
        <v>-592</v>
      </c>
      <c r="P65" s="68">
        <f t="shared" si="21"/>
        <v>-1119</v>
      </c>
      <c r="Q65" s="103">
        <v>-2567</v>
      </c>
      <c r="R65" s="68">
        <v>-463</v>
      </c>
      <c r="S65" s="68">
        <v>-719</v>
      </c>
      <c r="T65" s="68">
        <v>-799</v>
      </c>
      <c r="U65" s="68">
        <f t="shared" si="0"/>
        <v>-1208</v>
      </c>
      <c r="V65" s="103">
        <v>-3189</v>
      </c>
    </row>
    <row r="66" spans="2:22" x14ac:dyDescent="0.25">
      <c r="B66" s="113" t="s">
        <v>116</v>
      </c>
      <c r="C66" s="68">
        <v>-1</v>
      </c>
      <c r="D66" s="65">
        <f>0-C66</f>
        <v>1</v>
      </c>
      <c r="E66" s="68">
        <f>-8-D66-C66</f>
        <v>-8</v>
      </c>
      <c r="F66" s="65">
        <f t="shared" si="19"/>
        <v>3</v>
      </c>
      <c r="G66" s="103">
        <v>-5</v>
      </c>
      <c r="H66" s="68">
        <v>-2</v>
      </c>
      <c r="I66" s="65">
        <f>-1-H66</f>
        <v>1</v>
      </c>
      <c r="J66" s="65">
        <f>-1-H66-I66</f>
        <v>0</v>
      </c>
      <c r="K66" s="68">
        <f t="shared" si="20"/>
        <v>-3</v>
      </c>
      <c r="L66" s="103">
        <v>-4</v>
      </c>
      <c r="M66" s="65">
        <v>-3</v>
      </c>
      <c r="N66" s="65">
        <f>-10-M66</f>
        <v>-7</v>
      </c>
      <c r="O66" s="65">
        <f>-10-M66-N66</f>
        <v>0</v>
      </c>
      <c r="P66" s="65">
        <f t="shared" si="21"/>
        <v>1</v>
      </c>
      <c r="Q66" s="103">
        <v>-9</v>
      </c>
      <c r="R66" s="65">
        <v>0</v>
      </c>
      <c r="S66" s="65">
        <v>0</v>
      </c>
      <c r="T66" s="65">
        <v>0</v>
      </c>
      <c r="U66" s="65">
        <f t="shared" si="0"/>
        <v>-11</v>
      </c>
      <c r="V66" s="103">
        <v>-11</v>
      </c>
    </row>
    <row r="67" spans="2:22" x14ac:dyDescent="0.25">
      <c r="B67" s="113" t="s">
        <v>117</v>
      </c>
      <c r="C67" s="68">
        <v>-56</v>
      </c>
      <c r="D67" s="68">
        <f>-104-C67</f>
        <v>-48</v>
      </c>
      <c r="E67" s="65">
        <f>-97-D67-C67</f>
        <v>7</v>
      </c>
      <c r="F67" s="68">
        <f t="shared" si="19"/>
        <v>-84</v>
      </c>
      <c r="G67" s="103">
        <v>-181</v>
      </c>
      <c r="H67" s="68">
        <v>-12</v>
      </c>
      <c r="I67" s="68">
        <f>-13-H67</f>
        <v>-1</v>
      </c>
      <c r="J67" s="68">
        <f>-65-H67-I67</f>
        <v>-52</v>
      </c>
      <c r="K67" s="68">
        <f t="shared" si="20"/>
        <v>-109</v>
      </c>
      <c r="L67" s="103">
        <v>-174</v>
      </c>
      <c r="M67" s="68">
        <v>-7</v>
      </c>
      <c r="N67" s="68">
        <f>-1-M67</f>
        <v>6</v>
      </c>
      <c r="O67" s="68">
        <f>-108-M67-N67</f>
        <v>-107</v>
      </c>
      <c r="P67" s="68">
        <f t="shared" si="21"/>
        <v>-7</v>
      </c>
      <c r="Q67" s="103">
        <v>-115</v>
      </c>
      <c r="R67" s="68">
        <v>-9</v>
      </c>
      <c r="S67" s="65">
        <v>1</v>
      </c>
      <c r="T67" s="65">
        <v>-7</v>
      </c>
      <c r="U67" s="65">
        <f t="shared" si="0"/>
        <v>-44</v>
      </c>
      <c r="V67" s="103">
        <v>-59</v>
      </c>
    </row>
    <row r="68" spans="2:22" x14ac:dyDescent="0.25">
      <c r="B68" s="113" t="s">
        <v>109</v>
      </c>
      <c r="C68" s="68">
        <v>0</v>
      </c>
      <c r="D68" s="68">
        <v>0</v>
      </c>
      <c r="E68" s="65">
        <v>0</v>
      </c>
      <c r="F68" s="68">
        <f t="shared" si="19"/>
        <v>0</v>
      </c>
      <c r="G68" s="103">
        <v>0</v>
      </c>
      <c r="H68" s="68">
        <v>0</v>
      </c>
      <c r="I68" s="68">
        <v>0</v>
      </c>
      <c r="J68" s="65">
        <v>0</v>
      </c>
      <c r="K68" s="68">
        <f t="shared" si="20"/>
        <v>0</v>
      </c>
      <c r="L68" s="103">
        <v>0</v>
      </c>
      <c r="M68" s="68">
        <v>0</v>
      </c>
      <c r="N68" s="68">
        <v>0</v>
      </c>
      <c r="O68" s="65">
        <v>0</v>
      </c>
      <c r="P68" s="68">
        <f t="shared" si="21"/>
        <v>0</v>
      </c>
      <c r="Q68" s="103">
        <v>0</v>
      </c>
      <c r="R68" s="68">
        <v>-1287</v>
      </c>
      <c r="S68" s="65">
        <v>0</v>
      </c>
      <c r="T68" s="65">
        <v>0</v>
      </c>
      <c r="U68" s="65">
        <f t="shared" si="0"/>
        <v>0</v>
      </c>
      <c r="V68" s="103">
        <v>-1287</v>
      </c>
    </row>
    <row r="69" spans="2:22" x14ac:dyDescent="0.25">
      <c r="B69" s="109" t="s">
        <v>118</v>
      </c>
      <c r="C69" s="81">
        <f>SUM(C59:C68)</f>
        <v>-75</v>
      </c>
      <c r="D69" s="81">
        <f t="shared" ref="C69:R69" si="22">SUM(D59:D67)</f>
        <v>-592</v>
      </c>
      <c r="E69" s="81">
        <f t="shared" si="22"/>
        <v>-579</v>
      </c>
      <c r="F69" s="81">
        <f t="shared" si="22"/>
        <v>-694</v>
      </c>
      <c r="G69" s="106">
        <f>SUM(G59:G68)</f>
        <v>-1940</v>
      </c>
      <c r="H69" s="81">
        <f t="shared" si="22"/>
        <v>-564</v>
      </c>
      <c r="I69" s="81">
        <f t="shared" si="22"/>
        <v>-462</v>
      </c>
      <c r="J69" s="81">
        <f t="shared" si="22"/>
        <v>-671</v>
      </c>
      <c r="K69" s="71">
        <f t="shared" si="22"/>
        <v>2828</v>
      </c>
      <c r="L69" s="105">
        <f t="shared" si="22"/>
        <v>1131</v>
      </c>
      <c r="M69" s="71">
        <f t="shared" si="22"/>
        <v>-250</v>
      </c>
      <c r="N69" s="71">
        <f t="shared" si="22"/>
        <v>-338</v>
      </c>
      <c r="O69" s="71">
        <f t="shared" si="22"/>
        <v>-756</v>
      </c>
      <c r="P69" s="71">
        <f t="shared" si="22"/>
        <v>209</v>
      </c>
      <c r="Q69" s="106">
        <f t="shared" si="22"/>
        <v>-1135</v>
      </c>
      <c r="R69" s="71">
        <f>SUM(R59:R68)</f>
        <v>6226</v>
      </c>
      <c r="S69" s="81">
        <f>SUM(S59:S68)</f>
        <v>-571</v>
      </c>
      <c r="T69" s="81">
        <f>SUM(T59:T68)</f>
        <v>-699</v>
      </c>
      <c r="U69" s="81">
        <f t="shared" si="0"/>
        <v>-799</v>
      </c>
      <c r="V69" s="106">
        <f>SUM(V59:V68)</f>
        <v>4157</v>
      </c>
    </row>
    <row r="70" spans="2:22" x14ac:dyDescent="0.25">
      <c r="B70" s="113"/>
      <c r="C70" s="65"/>
      <c r="D70" s="65"/>
      <c r="E70" s="65"/>
      <c r="F70" s="65"/>
      <c r="G70" s="102"/>
      <c r="H70" s="65"/>
      <c r="I70" s="65"/>
      <c r="J70" s="65"/>
      <c r="K70" s="65"/>
      <c r="L70" s="102"/>
      <c r="M70" s="65"/>
      <c r="N70" s="65"/>
      <c r="O70" s="65"/>
      <c r="P70" s="65"/>
      <c r="Q70" s="102"/>
      <c r="R70" s="65"/>
      <c r="S70" s="65"/>
      <c r="T70" s="65"/>
      <c r="U70" s="65"/>
      <c r="V70" s="102"/>
    </row>
    <row r="71" spans="2:22" x14ac:dyDescent="0.25">
      <c r="B71" s="110" t="s">
        <v>123</v>
      </c>
      <c r="C71" s="65"/>
      <c r="D71" s="65"/>
      <c r="E71" s="65"/>
      <c r="F71" s="65"/>
      <c r="G71" s="102"/>
      <c r="H71" s="65"/>
      <c r="I71" s="65"/>
      <c r="J71" s="65"/>
      <c r="K71" s="65"/>
      <c r="L71" s="102"/>
      <c r="M71" s="65"/>
      <c r="N71" s="65"/>
      <c r="O71" s="65"/>
      <c r="P71" s="65"/>
      <c r="Q71" s="102"/>
      <c r="R71" s="65"/>
      <c r="S71" s="65"/>
      <c r="T71" s="65"/>
      <c r="U71" s="65"/>
      <c r="V71" s="102"/>
    </row>
    <row r="72" spans="2:22" x14ac:dyDescent="0.25">
      <c r="B72" s="113" t="s">
        <v>119</v>
      </c>
      <c r="C72" s="65">
        <v>1374</v>
      </c>
      <c r="D72" s="65">
        <f>1992-C72</f>
        <v>618</v>
      </c>
      <c r="E72" s="65">
        <f>3030-D72-C72</f>
        <v>1038</v>
      </c>
      <c r="F72" s="65">
        <f t="shared" ref="F72:F77" si="23">G72-SUM(C72:E72)</f>
        <v>3132</v>
      </c>
      <c r="G72" s="102">
        <v>6162</v>
      </c>
      <c r="H72" s="65">
        <v>1211</v>
      </c>
      <c r="I72" s="65">
        <f>3568-H72</f>
        <v>2357</v>
      </c>
      <c r="J72" s="65">
        <f>4393-H72-I72</f>
        <v>825</v>
      </c>
      <c r="K72" s="65">
        <f>L72-SUM(H72:J72)</f>
        <v>1006</v>
      </c>
      <c r="L72" s="102">
        <v>5399</v>
      </c>
      <c r="M72" s="65">
        <v>595</v>
      </c>
      <c r="N72" s="65">
        <f>2088-M72</f>
        <v>1493</v>
      </c>
      <c r="O72" s="65">
        <f>2924-M72-N72</f>
        <v>836</v>
      </c>
      <c r="P72" s="65">
        <f t="shared" ref="P72:P77" si="24">Q72-SUM(M72:O72)</f>
        <v>715</v>
      </c>
      <c r="Q72" s="102">
        <v>3639</v>
      </c>
      <c r="R72" s="65">
        <v>289</v>
      </c>
      <c r="S72" s="65">
        <v>2010</v>
      </c>
      <c r="T72" s="65">
        <v>674</v>
      </c>
      <c r="U72" s="65">
        <f t="shared" si="0"/>
        <v>1350</v>
      </c>
      <c r="V72" s="102">
        <v>4323</v>
      </c>
    </row>
    <row r="73" spans="2:22" x14ac:dyDescent="0.25">
      <c r="B73" s="113" t="s">
        <v>120</v>
      </c>
      <c r="C73" s="68">
        <v>-3203</v>
      </c>
      <c r="D73" s="68">
        <f>-3927-C73</f>
        <v>-724</v>
      </c>
      <c r="E73" s="68">
        <f>-4664-D73-C73</f>
        <v>-737</v>
      </c>
      <c r="F73" s="68">
        <f t="shared" si="23"/>
        <v>-2712</v>
      </c>
      <c r="G73" s="103">
        <v>-7376</v>
      </c>
      <c r="H73" s="68">
        <v>-1083</v>
      </c>
      <c r="I73" s="68">
        <f>-2874-H73</f>
        <v>-1791</v>
      </c>
      <c r="J73" s="68">
        <f>-3818-I73-H73</f>
        <v>-944</v>
      </c>
      <c r="K73" s="68">
        <f>L73-SUM(H73:J73)</f>
        <v>-2063</v>
      </c>
      <c r="L73" s="103">
        <v>-5881</v>
      </c>
      <c r="M73" s="68">
        <v>-1961</v>
      </c>
      <c r="N73" s="68">
        <f>-3846-M73</f>
        <v>-1885</v>
      </c>
      <c r="O73" s="68">
        <f>-4812-M73-N73</f>
        <v>-966</v>
      </c>
      <c r="P73" s="68">
        <f t="shared" si="24"/>
        <v>-720</v>
      </c>
      <c r="Q73" s="103">
        <v>-5532</v>
      </c>
      <c r="R73" s="68">
        <v>-4372</v>
      </c>
      <c r="S73" s="68">
        <v>-2522</v>
      </c>
      <c r="T73" s="68">
        <v>-1263</v>
      </c>
      <c r="U73" s="68">
        <f t="shared" si="0"/>
        <v>-1199</v>
      </c>
      <c r="V73" s="103">
        <v>-9356</v>
      </c>
    </row>
    <row r="74" spans="2:22" x14ac:dyDescent="0.25">
      <c r="B74" s="120" t="s">
        <v>185</v>
      </c>
      <c r="C74" s="82">
        <v>0</v>
      </c>
      <c r="D74" s="82">
        <v>0</v>
      </c>
      <c r="E74" s="82">
        <v>0</v>
      </c>
      <c r="F74" s="82">
        <v>0</v>
      </c>
      <c r="G74" s="102">
        <v>0</v>
      </c>
      <c r="H74" s="82">
        <v>0</v>
      </c>
      <c r="I74" s="82">
        <v>0</v>
      </c>
      <c r="J74" s="82">
        <v>0</v>
      </c>
      <c r="K74" s="82">
        <v>0</v>
      </c>
      <c r="L74" s="102">
        <v>0</v>
      </c>
      <c r="M74" s="82">
        <v>0</v>
      </c>
      <c r="N74" s="82">
        <v>0</v>
      </c>
      <c r="O74" s="82">
        <v>0</v>
      </c>
      <c r="P74" s="82">
        <v>0</v>
      </c>
      <c r="Q74" s="102">
        <v>0</v>
      </c>
      <c r="R74" s="68">
        <v>-52</v>
      </c>
      <c r="S74" s="68">
        <v>-32</v>
      </c>
      <c r="T74" s="68">
        <v>-55</v>
      </c>
      <c r="U74" s="68">
        <f t="shared" si="0"/>
        <v>-78</v>
      </c>
      <c r="V74" s="102">
        <v>-217</v>
      </c>
    </row>
    <row r="75" spans="2:22" x14ac:dyDescent="0.25">
      <c r="B75" s="113" t="s">
        <v>98</v>
      </c>
      <c r="C75" s="68">
        <v>-23</v>
      </c>
      <c r="D75" s="68">
        <f>-133-C75</f>
        <v>-110</v>
      </c>
      <c r="E75" s="68">
        <f>-251-D75-C75</f>
        <v>-118</v>
      </c>
      <c r="F75" s="68">
        <f t="shared" si="23"/>
        <v>-120</v>
      </c>
      <c r="G75" s="103">
        <v>-371</v>
      </c>
      <c r="H75" s="68">
        <v>-81</v>
      </c>
      <c r="I75" s="68">
        <f>-115-H75</f>
        <v>-34</v>
      </c>
      <c r="J75" s="68">
        <f>-211-I75-H75</f>
        <v>-96</v>
      </c>
      <c r="K75" s="68">
        <f>L75-SUM(H75:J75)</f>
        <v>-350</v>
      </c>
      <c r="L75" s="103">
        <v>-561</v>
      </c>
      <c r="M75" s="65">
        <v>-50</v>
      </c>
      <c r="N75" s="65">
        <f>-7-M75</f>
        <v>43</v>
      </c>
      <c r="O75" s="65">
        <f>-12-M75-N75</f>
        <v>-5</v>
      </c>
      <c r="P75" s="65">
        <f t="shared" si="24"/>
        <v>1</v>
      </c>
      <c r="Q75" s="103">
        <v>-11</v>
      </c>
      <c r="R75" s="65">
        <v>60</v>
      </c>
      <c r="S75" s="68">
        <v>-68</v>
      </c>
      <c r="T75" s="68">
        <v>14</v>
      </c>
      <c r="U75" s="68">
        <f t="shared" ref="U75:U87" si="25">V75-SUM(R75:T75)</f>
        <v>-13</v>
      </c>
      <c r="V75" s="103">
        <v>-7</v>
      </c>
    </row>
    <row r="76" spans="2:22" x14ac:dyDescent="0.25">
      <c r="B76" s="113" t="s">
        <v>141</v>
      </c>
      <c r="C76" s="65">
        <v>0</v>
      </c>
      <c r="D76" s="65">
        <v>0</v>
      </c>
      <c r="E76" s="65">
        <v>0</v>
      </c>
      <c r="F76" s="65">
        <v>0</v>
      </c>
      <c r="G76" s="102">
        <v>0</v>
      </c>
      <c r="H76" s="65">
        <v>0</v>
      </c>
      <c r="I76" s="65">
        <v>0</v>
      </c>
      <c r="J76" s="65">
        <v>0</v>
      </c>
      <c r="K76" s="65">
        <v>0</v>
      </c>
      <c r="L76" s="102">
        <v>0</v>
      </c>
      <c r="M76" s="65">
        <v>-95</v>
      </c>
      <c r="N76" s="65">
        <f>-95-M76</f>
        <v>0</v>
      </c>
      <c r="O76" s="65">
        <f>-95-M76-N76</f>
        <v>0</v>
      </c>
      <c r="P76" s="65">
        <f t="shared" si="24"/>
        <v>0</v>
      </c>
      <c r="Q76" s="103">
        <v>-95</v>
      </c>
      <c r="R76" s="65">
        <v>0</v>
      </c>
      <c r="S76" s="65">
        <v>0</v>
      </c>
      <c r="T76" s="65">
        <v>0</v>
      </c>
      <c r="U76" s="65">
        <f t="shared" si="25"/>
        <v>0</v>
      </c>
      <c r="V76" s="103">
        <v>0</v>
      </c>
    </row>
    <row r="77" spans="2:22" x14ac:dyDescent="0.25">
      <c r="B77" s="113" t="s">
        <v>121</v>
      </c>
      <c r="C77" s="68">
        <v>-5</v>
      </c>
      <c r="D77" s="68">
        <f>-71-C77</f>
        <v>-66</v>
      </c>
      <c r="E77" s="68">
        <f>-76-D77-C77</f>
        <v>-5</v>
      </c>
      <c r="F77" s="68">
        <f t="shared" si="23"/>
        <v>-29</v>
      </c>
      <c r="G77" s="103">
        <v>-105</v>
      </c>
      <c r="H77" s="68">
        <v>-4</v>
      </c>
      <c r="I77" s="68">
        <f>-160-H77</f>
        <v>-156</v>
      </c>
      <c r="J77" s="68">
        <f>-194-H77-I77</f>
        <v>-34</v>
      </c>
      <c r="K77" s="68">
        <f>L77-SUM(H77:J77)</f>
        <v>-165</v>
      </c>
      <c r="L77" s="103">
        <v>-359</v>
      </c>
      <c r="M77" s="68">
        <v>-8</v>
      </c>
      <c r="N77" s="78">
        <f>-538-M77</f>
        <v>-530</v>
      </c>
      <c r="O77" s="68">
        <f>-781-25-M77-N77</f>
        <v>-268</v>
      </c>
      <c r="P77" s="68">
        <f t="shared" si="24"/>
        <v>-44</v>
      </c>
      <c r="Q77" s="103">
        <f>-789-61</f>
        <v>-850</v>
      </c>
      <c r="R77" s="68">
        <v>-1139</v>
      </c>
      <c r="S77" s="68">
        <v>-28</v>
      </c>
      <c r="T77" s="68">
        <v>-445</v>
      </c>
      <c r="U77" s="68">
        <f t="shared" si="25"/>
        <v>-27</v>
      </c>
      <c r="V77" s="103">
        <v>-1639</v>
      </c>
    </row>
    <row r="78" spans="2:22" x14ac:dyDescent="0.25">
      <c r="B78" s="109" t="s">
        <v>122</v>
      </c>
      <c r="C78" s="81">
        <f t="shared" ref="C78:R78" si="26">SUM(C72:C77)</f>
        <v>-1857</v>
      </c>
      <c r="D78" s="81">
        <f t="shared" si="26"/>
        <v>-282</v>
      </c>
      <c r="E78" s="71">
        <f t="shared" si="26"/>
        <v>178</v>
      </c>
      <c r="F78" s="71">
        <f t="shared" si="26"/>
        <v>271</v>
      </c>
      <c r="G78" s="106">
        <f t="shared" si="26"/>
        <v>-1690</v>
      </c>
      <c r="H78" s="71">
        <f t="shared" si="26"/>
        <v>43</v>
      </c>
      <c r="I78" s="71">
        <f t="shared" si="26"/>
        <v>376</v>
      </c>
      <c r="J78" s="81">
        <f t="shared" si="26"/>
        <v>-249</v>
      </c>
      <c r="K78" s="81">
        <f t="shared" si="26"/>
        <v>-1572</v>
      </c>
      <c r="L78" s="106">
        <f t="shared" si="26"/>
        <v>-1402</v>
      </c>
      <c r="M78" s="81">
        <f t="shared" si="26"/>
        <v>-1519</v>
      </c>
      <c r="N78" s="83">
        <f t="shared" si="26"/>
        <v>-879</v>
      </c>
      <c r="O78" s="81">
        <f t="shared" si="26"/>
        <v>-403</v>
      </c>
      <c r="P78" s="81">
        <f t="shared" si="26"/>
        <v>-48</v>
      </c>
      <c r="Q78" s="106">
        <f t="shared" si="26"/>
        <v>-2849</v>
      </c>
      <c r="R78" s="81">
        <f t="shared" si="26"/>
        <v>-5214</v>
      </c>
      <c r="S78" s="81">
        <f t="shared" ref="S78:V78" si="27">SUM(S72:S77)</f>
        <v>-640</v>
      </c>
      <c r="T78" s="81">
        <f t="shared" si="27"/>
        <v>-1075</v>
      </c>
      <c r="U78" s="81">
        <f t="shared" si="25"/>
        <v>33</v>
      </c>
      <c r="V78" s="106">
        <f t="shared" si="27"/>
        <v>-6896</v>
      </c>
    </row>
    <row r="79" spans="2:22" x14ac:dyDescent="0.25">
      <c r="B79" s="113"/>
      <c r="C79" s="65"/>
      <c r="D79" s="65"/>
      <c r="E79" s="65"/>
      <c r="F79" s="65"/>
      <c r="G79" s="102"/>
      <c r="H79" s="65"/>
      <c r="I79" s="65"/>
      <c r="J79" s="65"/>
      <c r="K79" s="65"/>
      <c r="L79" s="102"/>
      <c r="M79" s="65"/>
      <c r="N79" s="77"/>
      <c r="O79" s="65"/>
      <c r="P79" s="65"/>
      <c r="Q79" s="102"/>
      <c r="R79" s="65"/>
      <c r="S79" s="65"/>
      <c r="T79" s="65"/>
      <c r="U79" s="65"/>
      <c r="V79" s="102"/>
    </row>
    <row r="80" spans="2:22" x14ac:dyDescent="0.25">
      <c r="B80" s="113" t="s">
        <v>124</v>
      </c>
      <c r="C80" s="66">
        <f t="shared" ref="C80:R80" si="28">C56+C69+C78</f>
        <v>-678</v>
      </c>
      <c r="D80" s="66">
        <f t="shared" si="28"/>
        <v>11</v>
      </c>
      <c r="E80" s="66">
        <f t="shared" si="28"/>
        <v>-367</v>
      </c>
      <c r="F80" s="66">
        <f t="shared" si="28"/>
        <v>2196</v>
      </c>
      <c r="G80" s="107">
        <f t="shared" si="28"/>
        <v>1162</v>
      </c>
      <c r="H80" s="66">
        <f t="shared" si="28"/>
        <v>-1009</v>
      </c>
      <c r="I80" s="66">
        <f t="shared" si="28"/>
        <v>143</v>
      </c>
      <c r="J80" s="66">
        <f t="shared" si="28"/>
        <v>-332</v>
      </c>
      <c r="K80" s="66">
        <f t="shared" si="28"/>
        <v>3038</v>
      </c>
      <c r="L80" s="107">
        <f t="shared" si="28"/>
        <v>1840</v>
      </c>
      <c r="M80" s="66">
        <f t="shared" si="28"/>
        <v>-2299</v>
      </c>
      <c r="N80" s="84">
        <f t="shared" si="28"/>
        <v>-390</v>
      </c>
      <c r="O80" s="66">
        <f t="shared" si="28"/>
        <v>-544</v>
      </c>
      <c r="P80" s="66">
        <f t="shared" si="28"/>
        <v>1264</v>
      </c>
      <c r="Q80" s="107">
        <f t="shared" si="28"/>
        <v>-1969</v>
      </c>
      <c r="R80" s="66">
        <f t="shared" si="28"/>
        <v>-704</v>
      </c>
      <c r="S80" s="66">
        <f t="shared" ref="S80:V80" si="29">S56+S69+S78</f>
        <v>-1892</v>
      </c>
      <c r="T80" s="66">
        <f t="shared" si="29"/>
        <v>601</v>
      </c>
      <c r="U80" s="66">
        <f t="shared" si="25"/>
        <v>353</v>
      </c>
      <c r="V80" s="107">
        <f t="shared" si="29"/>
        <v>-1642</v>
      </c>
    </row>
    <row r="81" spans="2:22" x14ac:dyDescent="0.25">
      <c r="B81" s="113"/>
      <c r="C81" s="65"/>
      <c r="D81" s="65"/>
      <c r="E81" s="65"/>
      <c r="F81" s="68"/>
      <c r="G81" s="103"/>
      <c r="H81" s="68"/>
      <c r="I81" s="65"/>
      <c r="J81" s="65"/>
      <c r="K81" s="68"/>
      <c r="L81" s="102"/>
      <c r="M81" s="65"/>
      <c r="N81" s="77"/>
      <c r="O81" s="65"/>
      <c r="P81" s="68"/>
      <c r="Q81" s="102"/>
      <c r="R81" s="65"/>
      <c r="S81" s="65"/>
      <c r="T81" s="65"/>
      <c r="U81" s="65"/>
      <c r="V81" s="102"/>
    </row>
    <row r="82" spans="2:22" x14ac:dyDescent="0.25">
      <c r="B82" s="113" t="s">
        <v>142</v>
      </c>
      <c r="C82" s="65">
        <v>177</v>
      </c>
      <c r="D82" s="65">
        <f>177-C82</f>
        <v>0</v>
      </c>
      <c r="E82" s="65">
        <f>177-D82-C82</f>
        <v>0</v>
      </c>
      <c r="F82" s="65">
        <f t="shared" ref="F82:F85" si="30">G82-SUM(C82:E82)</f>
        <v>0</v>
      </c>
      <c r="G82" s="102">
        <v>177</v>
      </c>
      <c r="H82" s="65">
        <v>0</v>
      </c>
      <c r="I82" s="65">
        <v>0</v>
      </c>
      <c r="J82" s="65">
        <v>0</v>
      </c>
      <c r="K82" s="65">
        <f>L82-SUM(H82:J82)</f>
        <v>0</v>
      </c>
      <c r="L82" s="102">
        <v>0</v>
      </c>
      <c r="M82" s="65">
        <v>0</v>
      </c>
      <c r="N82" s="77">
        <v>0</v>
      </c>
      <c r="O82" s="65">
        <v>0</v>
      </c>
      <c r="P82" s="65">
        <f>Q82-SUM(M82:O82)</f>
        <v>0</v>
      </c>
      <c r="Q82" s="102">
        <v>0</v>
      </c>
      <c r="R82" s="65">
        <v>0</v>
      </c>
      <c r="S82" s="65">
        <v>0</v>
      </c>
      <c r="T82" s="65">
        <v>0</v>
      </c>
      <c r="U82" s="65">
        <f t="shared" si="25"/>
        <v>0</v>
      </c>
      <c r="V82" s="102">
        <v>0</v>
      </c>
    </row>
    <row r="83" spans="2:22" x14ac:dyDescent="0.25">
      <c r="B83" s="113" t="s">
        <v>137</v>
      </c>
      <c r="C83" s="65">
        <v>0</v>
      </c>
      <c r="D83" s="65">
        <v>0</v>
      </c>
      <c r="E83" s="65">
        <v>0</v>
      </c>
      <c r="F83" s="65">
        <v>0</v>
      </c>
      <c r="G83" s="102">
        <v>0</v>
      </c>
      <c r="H83" s="65">
        <v>0</v>
      </c>
      <c r="I83" s="65">
        <v>0</v>
      </c>
      <c r="J83" s="65">
        <v>0</v>
      </c>
      <c r="K83" s="65">
        <f>L83-SUM(H83:J83)</f>
        <v>0</v>
      </c>
      <c r="L83" s="102">
        <v>0</v>
      </c>
      <c r="M83" s="65">
        <v>0</v>
      </c>
      <c r="N83" s="77">
        <v>0</v>
      </c>
      <c r="O83" s="65">
        <v>0</v>
      </c>
      <c r="P83" s="65">
        <f>Q83-SUM(M83:O83)</f>
        <v>0</v>
      </c>
      <c r="Q83" s="102">
        <v>0</v>
      </c>
      <c r="R83" s="65">
        <v>0</v>
      </c>
      <c r="S83" s="65">
        <v>0</v>
      </c>
      <c r="T83" s="65">
        <v>0</v>
      </c>
      <c r="U83" s="65">
        <f t="shared" si="25"/>
        <v>0</v>
      </c>
      <c r="V83" s="102">
        <v>0</v>
      </c>
    </row>
    <row r="84" spans="2:22" x14ac:dyDescent="0.25">
      <c r="B84" s="113" t="s">
        <v>149</v>
      </c>
      <c r="C84" s="65">
        <v>0</v>
      </c>
      <c r="D84" s="65">
        <v>0</v>
      </c>
      <c r="E84" s="65">
        <v>0</v>
      </c>
      <c r="F84" s="65">
        <v>0</v>
      </c>
      <c r="G84" s="102">
        <v>0</v>
      </c>
      <c r="H84" s="65">
        <v>0</v>
      </c>
      <c r="I84" s="65">
        <v>0</v>
      </c>
      <c r="J84" s="65">
        <v>0</v>
      </c>
      <c r="K84" s="65">
        <v>0</v>
      </c>
      <c r="L84" s="102">
        <v>0</v>
      </c>
      <c r="M84" s="65">
        <v>0</v>
      </c>
      <c r="N84" s="78">
        <f>-14-M84</f>
        <v>-14</v>
      </c>
      <c r="O84" s="65">
        <f>-14-M84-N84</f>
        <v>0</v>
      </c>
      <c r="P84" s="68">
        <f>Q84-SUM(M84:O84)</f>
        <v>-95</v>
      </c>
      <c r="Q84" s="103">
        <f>-109</f>
        <v>-109</v>
      </c>
      <c r="R84" s="65">
        <v>0</v>
      </c>
      <c r="S84" s="65">
        <v>0</v>
      </c>
      <c r="T84" s="65">
        <v>0</v>
      </c>
      <c r="U84" s="65">
        <f t="shared" si="25"/>
        <v>0</v>
      </c>
      <c r="V84" s="103">
        <v>0</v>
      </c>
    </row>
    <row r="85" spans="2:22" x14ac:dyDescent="0.25">
      <c r="B85" s="113" t="s">
        <v>125</v>
      </c>
      <c r="C85" s="68">
        <v>-369</v>
      </c>
      <c r="D85" s="68">
        <f>-800-C85</f>
        <v>-431</v>
      </c>
      <c r="E85" s="65">
        <f>-784-D85-C85</f>
        <v>16</v>
      </c>
      <c r="F85" s="68">
        <f t="shared" si="30"/>
        <v>-258</v>
      </c>
      <c r="G85" s="103">
        <v>-1042</v>
      </c>
      <c r="H85" s="68">
        <v>-119</v>
      </c>
      <c r="I85" s="65">
        <f>481-H85</f>
        <v>600</v>
      </c>
      <c r="J85" s="68">
        <f>39-I85-H85</f>
        <v>-442</v>
      </c>
      <c r="K85" s="65">
        <f>L85-SUM(H85:J85)</f>
        <v>352</v>
      </c>
      <c r="L85" s="102">
        <v>391</v>
      </c>
      <c r="M85" s="65">
        <v>57</v>
      </c>
      <c r="N85" s="77">
        <f>796-M85</f>
        <v>739</v>
      </c>
      <c r="O85" s="65">
        <f>1031-M85-N85</f>
        <v>235</v>
      </c>
      <c r="P85" s="68">
        <f>Q85-SUM(M85:O85)</f>
        <v>-171</v>
      </c>
      <c r="Q85" s="102">
        <v>860</v>
      </c>
      <c r="R85" s="68">
        <v>-42</v>
      </c>
      <c r="S85" s="68">
        <v>-85</v>
      </c>
      <c r="T85" s="68">
        <v>476</v>
      </c>
      <c r="U85" s="68">
        <f t="shared" si="25"/>
        <v>-187</v>
      </c>
      <c r="V85" s="102">
        <v>162</v>
      </c>
    </row>
    <row r="86" spans="2:22" x14ac:dyDescent="0.25">
      <c r="B86" s="113" t="s">
        <v>126</v>
      </c>
      <c r="C86" s="65">
        <v>6649</v>
      </c>
      <c r="D86" s="65">
        <v>5779</v>
      </c>
      <c r="E86" s="65">
        <v>5359</v>
      </c>
      <c r="F86" s="65">
        <v>5008</v>
      </c>
      <c r="G86" s="102">
        <v>6649</v>
      </c>
      <c r="H86" s="65">
        <v>6946</v>
      </c>
      <c r="I86" s="65">
        <v>5818</v>
      </c>
      <c r="J86" s="65">
        <v>6561</v>
      </c>
      <c r="K86" s="65">
        <v>5788</v>
      </c>
      <c r="L86" s="102">
        <v>6946</v>
      </c>
      <c r="M86" s="65">
        <v>8960</v>
      </c>
      <c r="N86" s="77">
        <v>6718</v>
      </c>
      <c r="O86" s="65">
        <v>7053</v>
      </c>
      <c r="P86" s="65">
        <v>6754</v>
      </c>
      <c r="Q86" s="102">
        <v>8960</v>
      </c>
      <c r="R86" s="65">
        <v>7667</v>
      </c>
      <c r="S86" s="65">
        <v>6921</v>
      </c>
      <c r="T86" s="65">
        <v>4944</v>
      </c>
      <c r="U86" s="65">
        <f t="shared" si="25"/>
        <v>-11790</v>
      </c>
      <c r="V86" s="102">
        <v>7742</v>
      </c>
    </row>
    <row r="87" spans="2:22" ht="15.75" thickBot="1" x14ac:dyDescent="0.3">
      <c r="B87" s="110" t="s">
        <v>127</v>
      </c>
      <c r="C87" s="73">
        <f t="shared" ref="C87:O87" si="31">SUM(C80:C86)</f>
        <v>5779</v>
      </c>
      <c r="D87" s="73">
        <f t="shared" si="31"/>
        <v>5359</v>
      </c>
      <c r="E87" s="73">
        <f t="shared" si="31"/>
        <v>5008</v>
      </c>
      <c r="F87" s="73">
        <f t="shared" si="31"/>
        <v>6946</v>
      </c>
      <c r="G87" s="108">
        <f t="shared" si="31"/>
        <v>6946</v>
      </c>
      <c r="H87" s="73">
        <f t="shared" si="31"/>
        <v>5818</v>
      </c>
      <c r="I87" s="73">
        <f t="shared" si="31"/>
        <v>6561</v>
      </c>
      <c r="J87" s="73">
        <f t="shared" si="31"/>
        <v>5787</v>
      </c>
      <c r="K87" s="73">
        <f t="shared" si="31"/>
        <v>9178</v>
      </c>
      <c r="L87" s="108">
        <f t="shared" si="31"/>
        <v>9177</v>
      </c>
      <c r="M87" s="73">
        <f t="shared" si="31"/>
        <v>6718</v>
      </c>
      <c r="N87" s="85">
        <f t="shared" si="31"/>
        <v>7053</v>
      </c>
      <c r="O87" s="73">
        <f t="shared" si="31"/>
        <v>6744</v>
      </c>
      <c r="P87" s="73">
        <f t="shared" ref="P87:Q87" si="32">SUM(P80:P86)</f>
        <v>7752</v>
      </c>
      <c r="Q87" s="108">
        <f t="shared" si="32"/>
        <v>7742</v>
      </c>
      <c r="R87" s="73">
        <f t="shared" ref="R87:S87" si="33">SUM(R80:R86)</f>
        <v>6921</v>
      </c>
      <c r="S87" s="73">
        <f t="shared" si="33"/>
        <v>4944</v>
      </c>
      <c r="T87" s="73">
        <f t="shared" ref="T87:V87" si="34">SUM(T80:T86)</f>
        <v>6021</v>
      </c>
      <c r="U87" s="73">
        <f t="shared" si="25"/>
        <v>-11624</v>
      </c>
      <c r="V87" s="108">
        <f t="shared" si="34"/>
        <v>6262</v>
      </c>
    </row>
    <row r="88" spans="2:22" ht="15.75" thickTop="1" x14ac:dyDescent="0.25"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77"/>
      <c r="O88" s="65"/>
      <c r="P88" s="65"/>
      <c r="Q88" s="65"/>
      <c r="V88" s="65"/>
    </row>
    <row r="89" spans="2:22" x14ac:dyDescent="0.25"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77"/>
      <c r="O89" s="65"/>
      <c r="P89" s="65"/>
      <c r="Q89" s="65"/>
      <c r="V89" s="65"/>
    </row>
    <row r="90" spans="2:22" x14ac:dyDescent="0.25"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V90" s="65"/>
    </row>
    <row r="91" spans="2:22" x14ac:dyDescent="0.25"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77"/>
      <c r="O91" s="65"/>
      <c r="P91" s="65"/>
      <c r="Q91" s="65"/>
      <c r="V91" s="65"/>
    </row>
    <row r="92" spans="2:22" x14ac:dyDescent="0.25"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77"/>
      <c r="O92" s="65"/>
      <c r="P92" s="65"/>
      <c r="Q92" s="65"/>
      <c r="V92" s="65"/>
    </row>
    <row r="93" spans="2:22" x14ac:dyDescent="0.25"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77"/>
      <c r="O93" s="65"/>
      <c r="P93" s="65"/>
      <c r="Q93" s="65"/>
      <c r="V93" s="65"/>
    </row>
    <row r="94" spans="2:22" x14ac:dyDescent="0.25"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77"/>
      <c r="O94" s="65"/>
      <c r="P94" s="65"/>
      <c r="Q94" s="65"/>
      <c r="V94" s="65"/>
    </row>
    <row r="95" spans="2:22" x14ac:dyDescent="0.25"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77"/>
      <c r="O95" s="65"/>
      <c r="P95" s="65"/>
      <c r="Q95" s="65"/>
      <c r="V95" s="65"/>
    </row>
  </sheetData>
  <mergeCells count="4">
    <mergeCell ref="C4:G5"/>
    <mergeCell ref="H4:L5"/>
    <mergeCell ref="M4:Q5"/>
    <mergeCell ref="R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K14 K27 P17:P18 P20 P27 P33 P35 P60:P61 P64 U11:U36 U38:U51 U53:U67 K60:K67 H87:J87 H69:J83 H84:J86 V87 V80 V78 V69:V77 L69:T71 V81 L81:T81 V82:V83 V84:V86 K84:T85 V79 L79:T79 L80:T80 Q82:T83 L82:O83 L78:T78 K87:T87 K69:K83 P82:P83 U79 U81:U86 U70:U77 K68:V68 P25 L73:T77 L72:P72 R72:T72 K86:P86 R86:T86 U9" formulaRange="1"/>
    <ignoredError sqref="U37 U78 U80 U87 U69" formula="1" formulaRange="1"/>
    <ignoredError sqref="G6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48"/>
  <sheetViews>
    <sheetView showGridLines="0" zoomScaleNormal="100" workbookViewId="0">
      <pane xSplit="2" ySplit="6" topLeftCell="M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3.42578125" customWidth="1"/>
    <col min="2" max="2" width="83.42578125" bestFit="1" customWidth="1"/>
    <col min="3" max="16" width="18" customWidth="1"/>
    <col min="17" max="17" width="18" style="54" customWidth="1"/>
    <col min="18" max="19" width="18" customWidth="1"/>
    <col min="20" max="20" width="18" style="74" customWidth="1"/>
    <col min="21" max="21" width="18" customWidth="1"/>
    <col min="22" max="22" width="18" style="54" customWidth="1"/>
  </cols>
  <sheetData>
    <row r="4" spans="2:22" ht="15" customHeight="1" x14ac:dyDescent="0.25">
      <c r="B4" s="3"/>
      <c r="C4" s="88" t="s">
        <v>49</v>
      </c>
      <c r="D4" s="88"/>
      <c r="E4" s="88"/>
      <c r="F4" s="88"/>
      <c r="G4" s="88"/>
      <c r="H4" s="88" t="s">
        <v>54</v>
      </c>
      <c r="I4" s="88"/>
      <c r="J4" s="88"/>
      <c r="K4" s="88"/>
      <c r="L4" s="88"/>
      <c r="M4" s="89" t="s">
        <v>56</v>
      </c>
      <c r="N4" s="89"/>
      <c r="O4" s="89"/>
      <c r="P4" s="89"/>
      <c r="Q4" s="89"/>
      <c r="R4" s="90">
        <v>2019</v>
      </c>
      <c r="S4" s="90"/>
      <c r="T4" s="90"/>
      <c r="U4" s="90"/>
      <c r="V4" s="90"/>
    </row>
    <row r="5" spans="2:22" ht="15.75" x14ac:dyDescent="0.25">
      <c r="B5" s="4" t="s">
        <v>180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  <c r="N5" s="89"/>
      <c r="O5" s="89"/>
      <c r="P5" s="89"/>
      <c r="Q5" s="89"/>
      <c r="R5" s="90"/>
      <c r="S5" s="90"/>
      <c r="T5" s="90"/>
      <c r="U5" s="90"/>
      <c r="V5" s="90"/>
    </row>
    <row r="6" spans="2:22" ht="15.75" x14ac:dyDescent="0.2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31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173</v>
      </c>
      <c r="N6" s="6" t="s">
        <v>174</v>
      </c>
      <c r="O6" s="6" t="s">
        <v>175</v>
      </c>
      <c r="P6" s="6" t="s">
        <v>55</v>
      </c>
      <c r="Q6" s="6" t="s">
        <v>56</v>
      </c>
      <c r="R6" s="6" t="s">
        <v>184</v>
      </c>
      <c r="S6" s="6" t="s">
        <v>187</v>
      </c>
      <c r="T6" s="75" t="s">
        <v>192</v>
      </c>
      <c r="U6" s="6" t="s">
        <v>194</v>
      </c>
      <c r="V6" s="31" t="s">
        <v>193</v>
      </c>
    </row>
    <row r="7" spans="2:22" s="74" customFormat="1" x14ac:dyDescent="0.25">
      <c r="B7" s="109" t="s">
        <v>154</v>
      </c>
      <c r="G7" s="100"/>
      <c r="L7" s="100"/>
      <c r="Q7" s="121"/>
      <c r="V7" s="121"/>
    </row>
    <row r="8" spans="2:22" s="112" customFormat="1" x14ac:dyDescent="0.25">
      <c r="B8" s="110" t="s">
        <v>150</v>
      </c>
      <c r="C8" s="76">
        <v>458</v>
      </c>
      <c r="D8" s="76">
        <v>176</v>
      </c>
      <c r="E8" s="76">
        <v>414</v>
      </c>
      <c r="F8" s="67">
        <v>-1251</v>
      </c>
      <c r="G8" s="111">
        <v>-1251</v>
      </c>
      <c r="H8" s="67">
        <v>-1939</v>
      </c>
      <c r="I8" s="67">
        <v>-1704</v>
      </c>
      <c r="J8" s="67">
        <v>-1333</v>
      </c>
      <c r="K8" s="76">
        <v>810</v>
      </c>
      <c r="L8" s="101">
        <v>810</v>
      </c>
      <c r="M8" s="76">
        <v>1506</v>
      </c>
      <c r="N8" s="76">
        <v>1098</v>
      </c>
      <c r="O8" s="76">
        <v>691</v>
      </c>
      <c r="P8" s="76">
        <v>1953</v>
      </c>
      <c r="Q8" s="101">
        <v>2309</v>
      </c>
      <c r="R8" s="76">
        <v>6194</v>
      </c>
      <c r="S8" s="76">
        <v>6273</v>
      </c>
      <c r="T8" s="76">
        <v>5703</v>
      </c>
      <c r="U8" s="76">
        <v>4925</v>
      </c>
      <c r="V8" s="101">
        <v>4925</v>
      </c>
    </row>
    <row r="9" spans="2:22" s="123" customFormat="1" x14ac:dyDescent="0.25">
      <c r="B9" s="122" t="s">
        <v>151</v>
      </c>
      <c r="C9" s="67"/>
      <c r="D9" s="67"/>
      <c r="E9" s="67"/>
      <c r="F9" s="67"/>
      <c r="G9" s="111"/>
      <c r="H9" s="67"/>
      <c r="I9" s="67"/>
      <c r="J9" s="67"/>
      <c r="K9" s="67"/>
      <c r="L9" s="111"/>
      <c r="M9" s="67"/>
      <c r="N9" s="67"/>
      <c r="O9" s="67"/>
      <c r="P9" s="67"/>
      <c r="Q9" s="111"/>
      <c r="R9" s="67"/>
      <c r="S9" s="67"/>
      <c r="T9" s="67"/>
      <c r="U9" s="67"/>
      <c r="V9" s="111"/>
    </row>
    <row r="10" spans="2:22" s="74" customFormat="1" x14ac:dyDescent="0.25">
      <c r="B10" s="109" t="s">
        <v>152</v>
      </c>
      <c r="C10" s="67"/>
      <c r="D10" s="67"/>
      <c r="E10" s="67"/>
      <c r="F10" s="67"/>
      <c r="G10" s="111"/>
      <c r="H10" s="67"/>
      <c r="I10" s="67"/>
      <c r="J10" s="67"/>
      <c r="K10" s="67"/>
      <c r="L10" s="111"/>
      <c r="M10" s="67"/>
      <c r="N10" s="67"/>
      <c r="O10" s="67"/>
      <c r="P10" s="67"/>
      <c r="Q10" s="111"/>
      <c r="R10" s="67"/>
      <c r="S10" s="67"/>
      <c r="T10" s="67"/>
      <c r="U10" s="67"/>
      <c r="V10" s="111"/>
    </row>
    <row r="11" spans="2:22" s="74" customFormat="1" x14ac:dyDescent="0.25">
      <c r="B11" s="113" t="s">
        <v>153</v>
      </c>
      <c r="C11" s="68">
        <f>-807+9</f>
        <v>-798</v>
      </c>
      <c r="D11" s="68">
        <f>-843+14</f>
        <v>-829</v>
      </c>
      <c r="E11" s="68">
        <f>-938+5</f>
        <v>-933</v>
      </c>
      <c r="F11" s="68">
        <v>-774</v>
      </c>
      <c r="G11" s="103">
        <v>-774</v>
      </c>
      <c r="H11" s="68">
        <f>-590+3+4</f>
        <v>-583</v>
      </c>
      <c r="I11" s="68">
        <f>-654+12-1</f>
        <v>-643</v>
      </c>
      <c r="J11" s="68">
        <v>-1105</v>
      </c>
      <c r="K11" s="68">
        <v>-1197</v>
      </c>
      <c r="L11" s="103">
        <v>-1197</v>
      </c>
      <c r="M11" s="68">
        <v>-1447</v>
      </c>
      <c r="N11" s="68">
        <v>-1212</v>
      </c>
      <c r="O11" s="68">
        <v>-839</v>
      </c>
      <c r="P11" s="68">
        <v>-1938</v>
      </c>
      <c r="Q11" s="103">
        <v>-1938</v>
      </c>
      <c r="R11" s="68">
        <v>-1334</v>
      </c>
      <c r="S11" s="68">
        <v>-1541</v>
      </c>
      <c r="T11" s="68">
        <v>-1524</v>
      </c>
      <c r="U11" s="68">
        <v>-1022</v>
      </c>
      <c r="V11" s="103">
        <v>-1022</v>
      </c>
    </row>
    <row r="12" spans="2:22" s="74" customFormat="1" x14ac:dyDescent="0.25">
      <c r="B12" s="113" t="s">
        <v>155</v>
      </c>
      <c r="C12" s="65">
        <f>2108-29</f>
        <v>2079</v>
      </c>
      <c r="D12" s="65">
        <f>2151-53</f>
        <v>2098</v>
      </c>
      <c r="E12" s="65">
        <f>1814-22-63</f>
        <v>1729</v>
      </c>
      <c r="F12" s="65">
        <v>1745</v>
      </c>
      <c r="G12" s="102">
        <v>1745</v>
      </c>
      <c r="H12" s="65">
        <f>1786-10+15</f>
        <v>1791</v>
      </c>
      <c r="I12" s="65">
        <f>1444-50+39</f>
        <v>1433</v>
      </c>
      <c r="J12" s="65">
        <f>1583-64</f>
        <v>1519</v>
      </c>
      <c r="K12" s="65">
        <v>2506</v>
      </c>
      <c r="L12" s="102">
        <v>2506</v>
      </c>
      <c r="M12" s="65">
        <f>2411</f>
        <v>2411</v>
      </c>
      <c r="N12" s="65">
        <v>3114</v>
      </c>
      <c r="O12" s="65">
        <v>3243</v>
      </c>
      <c r="P12" s="65">
        <v>2048</v>
      </c>
      <c r="Q12" s="102">
        <v>2048</v>
      </c>
      <c r="R12" s="65">
        <v>2113</v>
      </c>
      <c r="S12" s="65">
        <v>1686</v>
      </c>
      <c r="T12" s="65">
        <v>1514</v>
      </c>
      <c r="U12" s="65">
        <v>1624</v>
      </c>
      <c r="V12" s="102">
        <v>1624</v>
      </c>
    </row>
    <row r="13" spans="2:22" s="74" customFormat="1" x14ac:dyDescent="0.25">
      <c r="B13" s="113" t="s">
        <v>156</v>
      </c>
      <c r="C13" s="65">
        <f>960-5</f>
        <v>955</v>
      </c>
      <c r="D13" s="65">
        <f>781-10</f>
        <v>771</v>
      </c>
      <c r="E13" s="65">
        <f>785-17</f>
        <v>768</v>
      </c>
      <c r="F13" s="68">
        <v>-397</v>
      </c>
      <c r="G13" s="103">
        <v>-397</v>
      </c>
      <c r="H13" s="68">
        <f>-483+45+3</f>
        <v>-435</v>
      </c>
      <c r="I13" s="68">
        <f>-343+66+8</f>
        <v>-269</v>
      </c>
      <c r="J13" s="68">
        <f>-489+84</f>
        <v>-405</v>
      </c>
      <c r="K13" s="65">
        <v>133</v>
      </c>
      <c r="L13" s="102">
        <v>133</v>
      </c>
      <c r="M13" s="65">
        <v>297</v>
      </c>
      <c r="N13" s="65">
        <v>229</v>
      </c>
      <c r="O13" s="65">
        <v>397</v>
      </c>
      <c r="P13" s="65">
        <v>1013</v>
      </c>
      <c r="Q13" s="102">
        <v>1013</v>
      </c>
      <c r="R13" s="65">
        <v>3183</v>
      </c>
      <c r="S13" s="65">
        <v>3189</v>
      </c>
      <c r="T13" s="65">
        <v>2911</v>
      </c>
      <c r="U13" s="65">
        <v>2168</v>
      </c>
      <c r="V13" s="102">
        <v>2168</v>
      </c>
    </row>
    <row r="14" spans="2:22" s="74" customFormat="1" x14ac:dyDescent="0.25">
      <c r="B14" s="113" t="s">
        <v>157</v>
      </c>
      <c r="C14" s="65">
        <f>2846-29</f>
        <v>2817</v>
      </c>
      <c r="D14" s="65">
        <f>2856-58</f>
        <v>2798</v>
      </c>
      <c r="E14" s="65">
        <f>2837-142</f>
        <v>2695</v>
      </c>
      <c r="F14" s="65">
        <v>2603</v>
      </c>
      <c r="G14" s="102">
        <v>2603</v>
      </c>
      <c r="H14" s="65">
        <f>2582-14-32</f>
        <v>2536</v>
      </c>
      <c r="I14" s="65">
        <f>2513-18-3</f>
        <v>2492</v>
      </c>
      <c r="J14" s="65">
        <f>2440-7</f>
        <v>2433</v>
      </c>
      <c r="K14" s="65">
        <v>2360</v>
      </c>
      <c r="L14" s="102">
        <v>2360</v>
      </c>
      <c r="M14" s="65">
        <v>2336</v>
      </c>
      <c r="N14" s="65">
        <v>2388</v>
      </c>
      <c r="O14" s="65">
        <v>2535</v>
      </c>
      <c r="P14" s="65">
        <v>2455</v>
      </c>
      <c r="Q14" s="102">
        <v>2455</v>
      </c>
      <c r="R14" s="65">
        <v>2589</v>
      </c>
      <c r="S14" s="65">
        <v>2729</v>
      </c>
      <c r="T14" s="65">
        <v>2888</v>
      </c>
      <c r="U14" s="65">
        <v>3067</v>
      </c>
      <c r="V14" s="102">
        <v>3067</v>
      </c>
    </row>
    <row r="15" spans="2:22" s="74" customFormat="1" x14ac:dyDescent="0.25">
      <c r="B15" s="109" t="s">
        <v>138</v>
      </c>
      <c r="C15" s="67"/>
      <c r="D15" s="67"/>
      <c r="E15" s="67"/>
      <c r="F15" s="67"/>
      <c r="G15" s="111"/>
      <c r="H15" s="67"/>
      <c r="I15" s="67"/>
      <c r="J15" s="67"/>
      <c r="K15" s="67"/>
      <c r="L15" s="111"/>
      <c r="M15" s="67"/>
      <c r="N15" s="67"/>
      <c r="O15" s="67"/>
      <c r="P15" s="67"/>
      <c r="Q15" s="111"/>
      <c r="R15" s="67"/>
      <c r="S15" s="67"/>
      <c r="T15" s="67"/>
      <c r="U15" s="67"/>
      <c r="V15" s="111"/>
    </row>
    <row r="16" spans="2:22" s="74" customFormat="1" x14ac:dyDescent="0.25">
      <c r="B16" s="113" t="s">
        <v>153</v>
      </c>
      <c r="C16" s="68">
        <f>0-9</f>
        <v>-9</v>
      </c>
      <c r="D16" s="68">
        <f>0-14</f>
        <v>-14</v>
      </c>
      <c r="E16" s="68">
        <f>0-5</f>
        <v>-5</v>
      </c>
      <c r="F16" s="68">
        <v>-31</v>
      </c>
      <c r="G16" s="103">
        <v>-31</v>
      </c>
      <c r="H16" s="68">
        <f>-9-3-4</f>
        <v>-16</v>
      </c>
      <c r="I16" s="68">
        <f>-4-12+1</f>
        <v>-15</v>
      </c>
      <c r="J16" s="65">
        <v>12</v>
      </c>
      <c r="K16" s="68">
        <v>-151</v>
      </c>
      <c r="L16" s="103">
        <v>-151</v>
      </c>
      <c r="M16" s="68">
        <v>-149</v>
      </c>
      <c r="N16" s="68">
        <v>-141</v>
      </c>
      <c r="O16" s="68">
        <v>-151</v>
      </c>
      <c r="P16" s="65">
        <v>0</v>
      </c>
      <c r="Q16" s="102">
        <v>0</v>
      </c>
      <c r="R16" s="65">
        <v>0</v>
      </c>
      <c r="S16" s="65">
        <v>0</v>
      </c>
      <c r="T16" s="65">
        <v>0</v>
      </c>
      <c r="U16" s="65">
        <v>0</v>
      </c>
      <c r="V16" s="102">
        <v>0</v>
      </c>
    </row>
    <row r="17" spans="2:22" s="74" customFormat="1" x14ac:dyDescent="0.25">
      <c r="B17" s="113" t="s">
        <v>155</v>
      </c>
      <c r="C17" s="65">
        <f>9+29</f>
        <v>38</v>
      </c>
      <c r="D17" s="65">
        <f>9+53</f>
        <v>62</v>
      </c>
      <c r="E17" s="65">
        <f>9+22+63</f>
        <v>94</v>
      </c>
      <c r="F17" s="65">
        <v>140</v>
      </c>
      <c r="G17" s="102">
        <v>140</v>
      </c>
      <c r="H17" s="65">
        <f>55+10+27</f>
        <v>92</v>
      </c>
      <c r="I17" s="65">
        <f>-17+50+3</f>
        <v>36</v>
      </c>
      <c r="J17" s="65">
        <f>-12+64</f>
        <v>52</v>
      </c>
      <c r="K17" s="65">
        <v>96</v>
      </c>
      <c r="L17" s="102">
        <v>96</v>
      </c>
      <c r="M17" s="65">
        <v>98</v>
      </c>
      <c r="N17" s="65">
        <v>9</v>
      </c>
      <c r="O17" s="65">
        <v>32</v>
      </c>
      <c r="P17" s="65">
        <v>6</v>
      </c>
      <c r="Q17" s="102">
        <v>6</v>
      </c>
      <c r="R17" s="65">
        <v>5</v>
      </c>
      <c r="S17" s="65">
        <v>45</v>
      </c>
      <c r="T17" s="65">
        <v>42</v>
      </c>
      <c r="U17" s="65">
        <v>38</v>
      </c>
      <c r="V17" s="102">
        <v>38</v>
      </c>
    </row>
    <row r="18" spans="2:22" s="74" customFormat="1" x14ac:dyDescent="0.25">
      <c r="B18" s="113" t="s">
        <v>156</v>
      </c>
      <c r="C18" s="65">
        <f>-2+5</f>
        <v>3</v>
      </c>
      <c r="D18" s="65">
        <f>-2+10</f>
        <v>8</v>
      </c>
      <c r="E18" s="65">
        <f>-2+17</f>
        <v>15</v>
      </c>
      <c r="F18" s="65">
        <v>2</v>
      </c>
      <c r="G18" s="102">
        <v>2</v>
      </c>
      <c r="H18" s="68">
        <f>-2-45-6</f>
        <v>-53</v>
      </c>
      <c r="I18" s="68">
        <f>5-66-11</f>
        <v>-72</v>
      </c>
      <c r="J18" s="68">
        <f>-5-84</f>
        <v>-89</v>
      </c>
      <c r="K18" s="65">
        <v>126</v>
      </c>
      <c r="L18" s="102">
        <v>126</v>
      </c>
      <c r="M18" s="65">
        <v>123</v>
      </c>
      <c r="N18" s="65">
        <v>146</v>
      </c>
      <c r="O18" s="65">
        <v>159</v>
      </c>
      <c r="P18" s="68">
        <v>-99</v>
      </c>
      <c r="Q18" s="103">
        <v>-99</v>
      </c>
      <c r="R18" s="68">
        <v>-52</v>
      </c>
      <c r="S18" s="68">
        <v>-53</v>
      </c>
      <c r="T18" s="68">
        <v>-50</v>
      </c>
      <c r="U18" s="68">
        <v>-3</v>
      </c>
      <c r="V18" s="103">
        <v>-3</v>
      </c>
    </row>
    <row r="19" spans="2:22" s="74" customFormat="1" x14ac:dyDescent="0.25">
      <c r="B19" s="113" t="s">
        <v>157</v>
      </c>
      <c r="C19" s="65">
        <f>1+29</f>
        <v>30</v>
      </c>
      <c r="D19" s="65">
        <f>1+58</f>
        <v>59</v>
      </c>
      <c r="E19" s="65">
        <f>0+142</f>
        <v>142</v>
      </c>
      <c r="F19" s="65">
        <v>185</v>
      </c>
      <c r="G19" s="102">
        <v>185</v>
      </c>
      <c r="H19" s="65">
        <f>95+14+32</f>
        <v>141</v>
      </c>
      <c r="I19" s="65">
        <f>-3+18+3</f>
        <v>18</v>
      </c>
      <c r="J19" s="68">
        <f>-70+7</f>
        <v>-63</v>
      </c>
      <c r="K19" s="65">
        <v>35</v>
      </c>
      <c r="L19" s="102">
        <v>35</v>
      </c>
      <c r="M19" s="65">
        <v>34</v>
      </c>
      <c r="N19" s="65">
        <v>52</v>
      </c>
      <c r="O19" s="65">
        <v>43</v>
      </c>
      <c r="P19" s="65">
        <v>55</v>
      </c>
      <c r="Q19" s="102">
        <v>55</v>
      </c>
      <c r="R19" s="65">
        <v>42</v>
      </c>
      <c r="S19" s="65">
        <v>26</v>
      </c>
      <c r="T19" s="65">
        <v>-23</v>
      </c>
      <c r="U19" s="65">
        <v>0</v>
      </c>
      <c r="V19" s="102">
        <v>0</v>
      </c>
    </row>
    <row r="20" spans="2:22" s="74" customFormat="1" x14ac:dyDescent="0.25">
      <c r="B20" s="109" t="s">
        <v>158</v>
      </c>
      <c r="C20" s="71">
        <f t="shared" ref="C20:Q20" si="0">SUM(C8:C19)</f>
        <v>5573</v>
      </c>
      <c r="D20" s="71">
        <f t="shared" si="0"/>
        <v>5129</v>
      </c>
      <c r="E20" s="71">
        <f t="shared" si="0"/>
        <v>4919</v>
      </c>
      <c r="F20" s="71">
        <f t="shared" si="0"/>
        <v>2222</v>
      </c>
      <c r="G20" s="105">
        <f t="shared" si="0"/>
        <v>2222</v>
      </c>
      <c r="H20" s="71">
        <f t="shared" si="0"/>
        <v>1534</v>
      </c>
      <c r="I20" s="71">
        <f t="shared" si="0"/>
        <v>1276</v>
      </c>
      <c r="J20" s="71">
        <f t="shared" si="0"/>
        <v>1021</v>
      </c>
      <c r="K20" s="71">
        <f t="shared" si="0"/>
        <v>4718</v>
      </c>
      <c r="L20" s="105">
        <f t="shared" si="0"/>
        <v>4718</v>
      </c>
      <c r="M20" s="71">
        <f>SUM(M8:M19)</f>
        <v>5209</v>
      </c>
      <c r="N20" s="71">
        <f t="shared" si="0"/>
        <v>5683</v>
      </c>
      <c r="O20" s="71">
        <f t="shared" si="0"/>
        <v>6110</v>
      </c>
      <c r="P20" s="71">
        <v>5849</v>
      </c>
      <c r="Q20" s="105">
        <f t="shared" si="0"/>
        <v>5849</v>
      </c>
      <c r="R20" s="71">
        <f>SUM(R8:R19)</f>
        <v>12740</v>
      </c>
      <c r="S20" s="71">
        <f>SUM(S8:S19)</f>
        <v>12354</v>
      </c>
      <c r="T20" s="71">
        <f>SUM(T8:T19)</f>
        <v>11461</v>
      </c>
      <c r="U20" s="71">
        <f t="shared" ref="U20:V20" si="1">SUM(U8:U19)</f>
        <v>10797</v>
      </c>
      <c r="V20" s="105">
        <f t="shared" si="1"/>
        <v>10797</v>
      </c>
    </row>
    <row r="21" spans="2:22" s="74" customFormat="1" x14ac:dyDescent="0.25">
      <c r="B21" s="122" t="s">
        <v>159</v>
      </c>
      <c r="C21" s="72"/>
      <c r="D21" s="72"/>
      <c r="E21" s="72"/>
      <c r="F21" s="72"/>
      <c r="G21" s="124"/>
      <c r="H21" s="72"/>
      <c r="I21" s="72"/>
      <c r="J21" s="72"/>
      <c r="K21" s="72"/>
      <c r="L21" s="124"/>
      <c r="M21" s="72"/>
      <c r="N21" s="72"/>
      <c r="O21" s="72"/>
      <c r="P21" s="72"/>
      <c r="Q21" s="124"/>
      <c r="R21" s="72"/>
      <c r="S21" s="72"/>
      <c r="T21" s="72"/>
      <c r="U21" s="72"/>
      <c r="V21" s="124"/>
    </row>
    <row r="22" spans="2:22" s="74" customFormat="1" x14ac:dyDescent="0.25">
      <c r="B22" s="114" t="s">
        <v>160</v>
      </c>
      <c r="C22" s="68">
        <v>707</v>
      </c>
      <c r="D22" s="68">
        <v>783</v>
      </c>
      <c r="E22" s="68">
        <v>784</v>
      </c>
      <c r="F22" s="68">
        <v>188</v>
      </c>
      <c r="G22" s="103">
        <v>188</v>
      </c>
      <c r="H22" s="68">
        <v>207</v>
      </c>
      <c r="I22" s="68">
        <v>230</v>
      </c>
      <c r="J22" s="68">
        <v>237</v>
      </c>
      <c r="K22" s="68">
        <v>489</v>
      </c>
      <c r="L22" s="103">
        <v>489</v>
      </c>
      <c r="M22" s="68">
        <v>479</v>
      </c>
      <c r="N22" s="68">
        <v>403</v>
      </c>
      <c r="O22" s="68">
        <v>377</v>
      </c>
      <c r="P22" s="68">
        <v>942</v>
      </c>
      <c r="Q22" s="103">
        <v>942</v>
      </c>
      <c r="R22" s="68">
        <v>930</v>
      </c>
      <c r="S22" s="68">
        <v>862</v>
      </c>
      <c r="T22" s="68">
        <v>879</v>
      </c>
      <c r="U22" s="68">
        <v>65</v>
      </c>
      <c r="V22" s="103">
        <v>65</v>
      </c>
    </row>
    <row r="23" spans="2:22" s="74" customFormat="1" x14ac:dyDescent="0.25">
      <c r="B23" s="122" t="s">
        <v>161</v>
      </c>
      <c r="C23" s="68"/>
      <c r="D23" s="68"/>
      <c r="E23" s="68"/>
      <c r="F23" s="68"/>
      <c r="G23" s="103"/>
      <c r="H23" s="68"/>
      <c r="I23" s="68"/>
      <c r="J23" s="68"/>
      <c r="K23" s="68"/>
      <c r="L23" s="103"/>
      <c r="M23" s="68"/>
      <c r="N23" s="68"/>
      <c r="O23" s="68"/>
      <c r="P23" s="68"/>
      <c r="Q23" s="103"/>
      <c r="R23" s="68"/>
      <c r="S23" s="68"/>
      <c r="T23" s="68"/>
      <c r="U23" s="68"/>
      <c r="V23" s="103"/>
    </row>
    <row r="24" spans="2:22" s="74" customFormat="1" x14ac:dyDescent="0.25">
      <c r="B24" s="114" t="s">
        <v>162</v>
      </c>
      <c r="C24" s="68">
        <f>3+53-717+688</f>
        <v>27</v>
      </c>
      <c r="D24" s="68">
        <f>-2+47-58</f>
        <v>-13</v>
      </c>
      <c r="E24" s="68">
        <f>-4+78+28-142</f>
        <v>-40</v>
      </c>
      <c r="F24" s="68">
        <v>4</v>
      </c>
      <c r="G24" s="103">
        <v>4</v>
      </c>
      <c r="H24" s="68">
        <f>50-2+130-14-95</f>
        <v>69</v>
      </c>
      <c r="I24" s="68">
        <f>225+279-18-60</f>
        <v>426</v>
      </c>
      <c r="J24" s="68">
        <f>221+178+253-7</f>
        <v>645</v>
      </c>
      <c r="K24" s="68">
        <v>306</v>
      </c>
      <c r="L24" s="103">
        <v>306</v>
      </c>
      <c r="M24" s="68">
        <v>159</v>
      </c>
      <c r="N24" s="68">
        <v>-12</v>
      </c>
      <c r="O24" s="68">
        <v>25</v>
      </c>
      <c r="P24" s="68">
        <v>10</v>
      </c>
      <c r="Q24" s="103">
        <v>10</v>
      </c>
      <c r="R24" s="68">
        <v>38</v>
      </c>
      <c r="S24" s="68">
        <v>66</v>
      </c>
      <c r="T24" s="68">
        <v>116</v>
      </c>
      <c r="U24" s="68">
        <v>2</v>
      </c>
      <c r="V24" s="103">
        <v>2</v>
      </c>
    </row>
    <row r="25" spans="2:22" s="74" customFormat="1" x14ac:dyDescent="0.25">
      <c r="B25" s="114" t="s">
        <v>163</v>
      </c>
      <c r="C25" s="68">
        <v>0</v>
      </c>
      <c r="D25" s="68">
        <v>0</v>
      </c>
      <c r="E25" s="68">
        <v>0</v>
      </c>
      <c r="F25" s="68">
        <v>0</v>
      </c>
      <c r="G25" s="103">
        <v>0</v>
      </c>
      <c r="H25" s="68">
        <v>0</v>
      </c>
      <c r="I25" s="68">
        <v>0</v>
      </c>
      <c r="J25" s="68">
        <v>0</v>
      </c>
      <c r="K25" s="68">
        <v>-267</v>
      </c>
      <c r="L25" s="103">
        <v>-267</v>
      </c>
      <c r="M25" s="68">
        <v>-110</v>
      </c>
      <c r="N25" s="68">
        <v>-56</v>
      </c>
      <c r="O25" s="68">
        <v>-204</v>
      </c>
      <c r="P25" s="68">
        <v>211</v>
      </c>
      <c r="Q25" s="103">
        <v>211</v>
      </c>
      <c r="R25" s="68">
        <v>54</v>
      </c>
      <c r="S25" s="68"/>
      <c r="T25" s="68"/>
      <c r="U25" s="68">
        <v>0</v>
      </c>
      <c r="V25" s="103">
        <v>0</v>
      </c>
    </row>
    <row r="26" spans="2:22" s="125" customFormat="1" x14ac:dyDescent="0.25">
      <c r="B26" s="117" t="s">
        <v>164</v>
      </c>
      <c r="C26" s="68">
        <v>-540</v>
      </c>
      <c r="D26" s="68">
        <v>-550</v>
      </c>
      <c r="E26" s="68">
        <v>-550</v>
      </c>
      <c r="F26" s="68">
        <v>-312</v>
      </c>
      <c r="G26" s="103">
        <v>-312</v>
      </c>
      <c r="H26" s="68">
        <v>-10</v>
      </c>
      <c r="I26" s="68">
        <v>249</v>
      </c>
      <c r="J26" s="68">
        <v>392</v>
      </c>
      <c r="K26" s="68">
        <v>-625</v>
      </c>
      <c r="L26" s="103">
        <v>-625</v>
      </c>
      <c r="M26" s="68">
        <v>-625</v>
      </c>
      <c r="N26" s="68">
        <v>-617</v>
      </c>
      <c r="O26" s="68">
        <v>-617</v>
      </c>
      <c r="P26" s="68">
        <v>-130</v>
      </c>
      <c r="Q26" s="103">
        <v>-130</v>
      </c>
      <c r="R26" s="68">
        <v>-6902</v>
      </c>
      <c r="S26" s="68">
        <v>-6841</v>
      </c>
      <c r="T26" s="68">
        <v>-6841</v>
      </c>
      <c r="U26" s="68">
        <v>-6719</v>
      </c>
      <c r="V26" s="103">
        <v>-6719</v>
      </c>
    </row>
    <row r="27" spans="2:22" s="125" customFormat="1" x14ac:dyDescent="0.25">
      <c r="B27" s="117" t="s">
        <v>165</v>
      </c>
      <c r="C27" s="68">
        <v>648</v>
      </c>
      <c r="D27" s="68">
        <v>679</v>
      </c>
      <c r="E27" s="68">
        <v>587</v>
      </c>
      <c r="F27" s="68">
        <v>1121</v>
      </c>
      <c r="G27" s="103">
        <v>1121</v>
      </c>
      <c r="H27" s="68">
        <f>1129-130</f>
        <v>999</v>
      </c>
      <c r="I27" s="68">
        <f>1113-309</f>
        <v>804</v>
      </c>
      <c r="J27" s="68">
        <f>1105-71-385</f>
        <v>649</v>
      </c>
      <c r="K27" s="68">
        <v>-10</v>
      </c>
      <c r="L27" s="103">
        <v>-10</v>
      </c>
      <c r="M27" s="68">
        <v>-28</v>
      </c>
      <c r="N27" s="68">
        <v>3</v>
      </c>
      <c r="O27" s="68">
        <v>25</v>
      </c>
      <c r="P27" s="68">
        <v>-24</v>
      </c>
      <c r="Q27" s="103">
        <v>-24</v>
      </c>
      <c r="R27" s="68">
        <v>-22</v>
      </c>
      <c r="S27" s="68">
        <v>-28</v>
      </c>
      <c r="T27" s="68">
        <v>537</v>
      </c>
      <c r="U27" s="68">
        <v>723</v>
      </c>
      <c r="V27" s="103">
        <v>723</v>
      </c>
    </row>
    <row r="28" spans="2:22" s="125" customFormat="1" x14ac:dyDescent="0.25">
      <c r="B28" s="117" t="s">
        <v>166</v>
      </c>
      <c r="C28" s="68">
        <v>-3</v>
      </c>
      <c r="D28" s="68">
        <v>40</v>
      </c>
      <c r="E28" s="68">
        <v>40</v>
      </c>
      <c r="F28" s="68">
        <v>1031</v>
      </c>
      <c r="G28" s="103">
        <v>1031</v>
      </c>
      <c r="H28" s="68">
        <v>1161</v>
      </c>
      <c r="I28" s="68">
        <v>988</v>
      </c>
      <c r="J28" s="68">
        <v>988</v>
      </c>
      <c r="K28" s="68">
        <v>-71</v>
      </c>
      <c r="L28" s="103">
        <v>-71</v>
      </c>
      <c r="M28" s="68">
        <v>-71</v>
      </c>
      <c r="N28" s="68">
        <v>-71</v>
      </c>
      <c r="O28" s="68">
        <v>-71</v>
      </c>
      <c r="P28" s="68">
        <v>0</v>
      </c>
      <c r="Q28" s="103">
        <v>0</v>
      </c>
      <c r="R28" s="68">
        <v>0</v>
      </c>
      <c r="S28" s="68">
        <v>0</v>
      </c>
      <c r="T28" s="68">
        <v>0</v>
      </c>
      <c r="U28" s="68">
        <v>0</v>
      </c>
      <c r="V28" s="103">
        <v>0</v>
      </c>
    </row>
    <row r="29" spans="2:22" s="125" customFormat="1" x14ac:dyDescent="0.25">
      <c r="B29" s="117" t="s">
        <v>167</v>
      </c>
      <c r="C29" s="68">
        <v>43</v>
      </c>
      <c r="D29" s="68">
        <v>40</v>
      </c>
      <c r="E29" s="68">
        <v>38</v>
      </c>
      <c r="F29" s="68">
        <v>-2</v>
      </c>
      <c r="G29" s="103">
        <v>-2</v>
      </c>
      <c r="H29" s="68">
        <v>8</v>
      </c>
      <c r="I29" s="68">
        <v>16</v>
      </c>
      <c r="J29" s="68">
        <v>13</v>
      </c>
      <c r="K29" s="68">
        <v>8</v>
      </c>
      <c r="L29" s="103">
        <v>8</v>
      </c>
      <c r="M29" s="68">
        <v>3</v>
      </c>
      <c r="N29" s="68">
        <v>1</v>
      </c>
      <c r="O29" s="68">
        <v>5</v>
      </c>
      <c r="P29" s="68">
        <v>0</v>
      </c>
      <c r="Q29" s="103">
        <v>0</v>
      </c>
      <c r="R29" s="68">
        <v>0</v>
      </c>
      <c r="S29" s="68">
        <v>-6</v>
      </c>
      <c r="T29" s="68">
        <v>-5</v>
      </c>
      <c r="U29" s="68">
        <v>0</v>
      </c>
      <c r="V29" s="103">
        <v>0</v>
      </c>
    </row>
    <row r="30" spans="2:22" s="125" customFormat="1" x14ac:dyDescent="0.25">
      <c r="B30" s="117" t="s">
        <v>168</v>
      </c>
      <c r="C30" s="68">
        <v>0</v>
      </c>
      <c r="D30" s="68">
        <v>0</v>
      </c>
      <c r="E30" s="68">
        <v>0</v>
      </c>
      <c r="F30" s="68">
        <v>0</v>
      </c>
      <c r="G30" s="103">
        <v>0</v>
      </c>
      <c r="H30" s="68">
        <v>0</v>
      </c>
      <c r="I30" s="68">
        <v>0</v>
      </c>
      <c r="J30" s="68">
        <v>99</v>
      </c>
      <c r="K30" s="68">
        <v>99</v>
      </c>
      <c r="L30" s="103">
        <v>99</v>
      </c>
      <c r="M30" s="68">
        <v>99</v>
      </c>
      <c r="N30" s="68">
        <v>99</v>
      </c>
      <c r="O30" s="68">
        <v>0</v>
      </c>
      <c r="P30" s="68">
        <v>0</v>
      </c>
      <c r="Q30" s="103">
        <v>0</v>
      </c>
      <c r="R30" s="68">
        <v>0</v>
      </c>
      <c r="S30" s="68">
        <v>0</v>
      </c>
      <c r="T30" s="68">
        <v>0</v>
      </c>
      <c r="U30" s="68">
        <v>0</v>
      </c>
      <c r="V30" s="103">
        <v>0</v>
      </c>
    </row>
    <row r="31" spans="2:22" s="125" customFormat="1" x14ac:dyDescent="0.25">
      <c r="B31" s="117" t="s">
        <v>144</v>
      </c>
      <c r="C31" s="68">
        <v>0</v>
      </c>
      <c r="D31" s="68">
        <v>0</v>
      </c>
      <c r="E31" s="68">
        <v>0</v>
      </c>
      <c r="F31" s="68">
        <v>0</v>
      </c>
      <c r="G31" s="103">
        <v>0</v>
      </c>
      <c r="H31" s="68">
        <v>0</v>
      </c>
      <c r="I31" s="68">
        <v>0</v>
      </c>
      <c r="J31" s="68">
        <v>0</v>
      </c>
      <c r="K31" s="68">
        <v>0</v>
      </c>
      <c r="L31" s="103">
        <v>0</v>
      </c>
      <c r="M31" s="68">
        <v>0</v>
      </c>
      <c r="N31" s="68">
        <v>-147</v>
      </c>
      <c r="O31" s="68">
        <v>-147</v>
      </c>
      <c r="P31" s="68">
        <v>-302</v>
      </c>
      <c r="Q31" s="103">
        <v>-302</v>
      </c>
      <c r="R31" s="68">
        <v>-302</v>
      </c>
      <c r="S31" s="68">
        <v>-155</v>
      </c>
      <c r="T31" s="68">
        <v>-155</v>
      </c>
      <c r="U31" s="68">
        <v>0</v>
      </c>
      <c r="V31" s="103">
        <v>0</v>
      </c>
    </row>
    <row r="32" spans="2:22" s="125" customFormat="1" x14ac:dyDescent="0.25">
      <c r="B32" s="117" t="s">
        <v>169</v>
      </c>
      <c r="C32" s="68">
        <v>4</v>
      </c>
      <c r="D32" s="68">
        <v>3</v>
      </c>
      <c r="E32" s="68">
        <v>-2</v>
      </c>
      <c r="F32" s="68">
        <v>1</v>
      </c>
      <c r="G32" s="103">
        <v>1</v>
      </c>
      <c r="H32" s="68">
        <v>1</v>
      </c>
      <c r="I32" s="68">
        <v>48</v>
      </c>
      <c r="J32" s="68">
        <v>48</v>
      </c>
      <c r="K32" s="68">
        <v>113</v>
      </c>
      <c r="L32" s="103">
        <v>113</v>
      </c>
      <c r="M32" s="68">
        <v>107</v>
      </c>
      <c r="N32" s="68">
        <v>142</v>
      </c>
      <c r="O32" s="68">
        <v>402</v>
      </c>
      <c r="P32" s="68">
        <v>322</v>
      </c>
      <c r="Q32" s="103">
        <v>322</v>
      </c>
      <c r="R32" s="68">
        <v>433</v>
      </c>
      <c r="S32" s="68">
        <v>443</v>
      </c>
      <c r="T32" s="68">
        <v>230</v>
      </c>
      <c r="U32" s="68">
        <v>252</v>
      </c>
      <c r="V32" s="103">
        <v>252</v>
      </c>
    </row>
    <row r="33" spans="2:22" s="125" customFormat="1" x14ac:dyDescent="0.25">
      <c r="B33" s="117"/>
      <c r="C33" s="68"/>
      <c r="D33" s="68"/>
      <c r="E33" s="68"/>
      <c r="F33" s="68"/>
      <c r="G33" s="103"/>
      <c r="H33" s="68"/>
      <c r="I33" s="68"/>
      <c r="J33" s="68"/>
      <c r="K33" s="68"/>
      <c r="L33" s="103"/>
      <c r="M33" s="68"/>
      <c r="N33" s="68"/>
      <c r="O33" s="68"/>
      <c r="P33" s="68"/>
      <c r="Q33" s="103"/>
      <c r="R33" s="68"/>
      <c r="S33" s="68"/>
      <c r="T33" s="68"/>
      <c r="U33" s="68"/>
      <c r="V33" s="103"/>
    </row>
    <row r="34" spans="2:22" s="74" customFormat="1" ht="15.75" thickBot="1" x14ac:dyDescent="0.3">
      <c r="B34" s="110" t="s">
        <v>170</v>
      </c>
      <c r="C34" s="73">
        <f t="shared" ref="C34:Q34" si="2">SUM(C20:C32)</f>
        <v>6459</v>
      </c>
      <c r="D34" s="73">
        <f t="shared" si="2"/>
        <v>6111</v>
      </c>
      <c r="E34" s="73">
        <f t="shared" si="2"/>
        <v>5776</v>
      </c>
      <c r="F34" s="73">
        <f t="shared" si="2"/>
        <v>4253</v>
      </c>
      <c r="G34" s="108">
        <f t="shared" si="2"/>
        <v>4253</v>
      </c>
      <c r="H34" s="73">
        <f t="shared" si="2"/>
        <v>3969</v>
      </c>
      <c r="I34" s="73">
        <f t="shared" si="2"/>
        <v>4037</v>
      </c>
      <c r="J34" s="73">
        <f t="shared" si="2"/>
        <v>4092</v>
      </c>
      <c r="K34" s="73">
        <f t="shared" si="2"/>
        <v>4760</v>
      </c>
      <c r="L34" s="108">
        <f t="shared" si="2"/>
        <v>4760</v>
      </c>
      <c r="M34" s="73">
        <f>SUM(M20:M32)</f>
        <v>5222</v>
      </c>
      <c r="N34" s="73">
        <f t="shared" si="2"/>
        <v>5428</v>
      </c>
      <c r="O34" s="73">
        <f t="shared" si="2"/>
        <v>5905</v>
      </c>
      <c r="P34" s="73">
        <v>6878</v>
      </c>
      <c r="Q34" s="108">
        <f t="shared" si="2"/>
        <v>6878</v>
      </c>
      <c r="R34" s="73">
        <f t="shared" ref="R34:S34" si="3">SUM(R20:R32)</f>
        <v>6969</v>
      </c>
      <c r="S34" s="73">
        <f t="shared" si="3"/>
        <v>6695</v>
      </c>
      <c r="T34" s="73">
        <f t="shared" ref="T34" si="4">SUM(T20:T32)</f>
        <v>6222</v>
      </c>
      <c r="U34" s="73">
        <f>SUM(U20:U32)</f>
        <v>5120</v>
      </c>
      <c r="V34" s="108">
        <f t="shared" ref="V34" si="5">SUM(V20:V32)</f>
        <v>5120</v>
      </c>
    </row>
    <row r="35" spans="2:22" ht="15.75" thickTop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53"/>
      <c r="U35" s="7"/>
      <c r="V35" s="53"/>
    </row>
    <row r="36" spans="2:22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53"/>
      <c r="U36" s="7"/>
      <c r="V36" s="53"/>
    </row>
    <row r="37" spans="2:22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3"/>
      <c r="U37" s="7"/>
      <c r="V37" s="53"/>
    </row>
    <row r="38" spans="2:22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3"/>
      <c r="U38" s="7"/>
      <c r="V38" s="53"/>
    </row>
    <row r="39" spans="2:22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3"/>
      <c r="U39" s="7"/>
      <c r="V39" s="53"/>
    </row>
    <row r="40" spans="2:22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3"/>
      <c r="U40" s="7"/>
      <c r="V40" s="53"/>
    </row>
    <row r="41" spans="2:22" x14ac:dyDescent="0.25">
      <c r="C41" s="32"/>
      <c r="D41" s="32"/>
      <c r="E41" s="32"/>
      <c r="F41" s="32"/>
      <c r="G41" s="32"/>
      <c r="H41" s="32"/>
      <c r="I41" s="32"/>
      <c r="J41" s="32"/>
    </row>
    <row r="42" spans="2:22" x14ac:dyDescent="0.25">
      <c r="D42" s="32"/>
      <c r="E42" s="32"/>
      <c r="F42" s="32"/>
      <c r="I42" s="32"/>
      <c r="J42" s="32"/>
    </row>
    <row r="43" spans="2:22" x14ac:dyDescent="0.25">
      <c r="D43" s="32"/>
      <c r="E43" s="32"/>
      <c r="F43" s="32"/>
      <c r="I43" s="32"/>
      <c r="J43" s="32"/>
    </row>
    <row r="44" spans="2:22" x14ac:dyDescent="0.25">
      <c r="D44" s="32"/>
      <c r="E44" s="32"/>
      <c r="F44" s="32"/>
      <c r="I44" s="32"/>
      <c r="J44" s="32"/>
    </row>
    <row r="48" spans="2:22" x14ac:dyDescent="0.25">
      <c r="G48" s="32"/>
      <c r="H48" s="32"/>
    </row>
  </sheetData>
  <mergeCells count="4">
    <mergeCell ref="C4:G5"/>
    <mergeCell ref="H4:L5"/>
    <mergeCell ref="M4:Q5"/>
    <mergeCell ref="R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9" ma:contentTypeDescription="Crie um novo documento." ma:contentTypeScope="" ma:versionID="7b6a85b9a988423958919fa92a720e38">
  <xsd:schema xmlns:xsd="http://www.w3.org/2001/XMLSchema" xmlns:xs="http://www.w3.org/2001/XMLSchema" xmlns:p="http://schemas.microsoft.com/office/2006/metadata/properties" xmlns:ns2="fbf45429-705a-4c2b-a167-8ee3e9d3d369" targetNamespace="http://schemas.microsoft.com/office/2006/metadata/properties" ma:root="true" ma:fieldsID="7bcb3b4a106b7786b22dec8ab0de9ffc" ns2:_="">
    <xsd:import namespace="fbf45429-705a-4c2b-a167-8ee3e9d3d3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6700B3-17FC-45DF-AAE5-14C97515A1D9}"/>
</file>

<file path=customXml/itemProps2.xml><?xml version="1.0" encoding="utf-8"?>
<ds:datastoreItem xmlns:ds="http://schemas.openxmlformats.org/officeDocument/2006/customXml" ds:itemID="{4FF820DD-785B-485D-965A-6103524A2864}"/>
</file>

<file path=customXml/itemProps3.xml><?xml version="1.0" encoding="utf-8"?>
<ds:datastoreItem xmlns:ds="http://schemas.openxmlformats.org/officeDocument/2006/customXml" ds:itemID="{959D8639-B02C-4645-BD0B-0B4BDA9A0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Marcelo Henrique Azevedo</cp:lastModifiedBy>
  <dcterms:created xsi:type="dcterms:W3CDTF">2019-03-14T19:14:16Z</dcterms:created>
  <dcterms:modified xsi:type="dcterms:W3CDTF">2020-03-11T13:39:03Z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</Properties>
</file>