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robsonvm1\Downloads\"/>
    </mc:Choice>
  </mc:AlternateContent>
  <xr:revisionPtr revIDLastSave="0" documentId="13_ncr:1_{DFD467B9-4533-4188-897F-895B8A56F111}" xr6:coauthVersionLast="47" xr6:coauthVersionMax="47" xr10:uidLastSave="{00000000-0000-0000-0000-000000000000}"/>
  <bookViews>
    <workbookView xWindow="-109" yWindow="-109" windowWidth="26301" windowHeight="14427" tabRatio="782" xr2:uid="{00000000-000D-0000-FFFF-FFFF00000000}"/>
  </bookViews>
  <sheets>
    <sheet name="Cover" sheetId="1" r:id="rId1"/>
    <sheet name="Balance Sheet" sheetId="2" r:id="rId2"/>
    <sheet name="Income Statement" sheetId="5" r:id="rId3"/>
    <sheet name="Cash Flows Statement" sheetId="8" r:id="rId4"/>
    <sheet name="Adjusted EBITDA" sheetId="10" r:id="rId5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32" i="10" l="1"/>
  <c r="AE31" i="10"/>
  <c r="AE28" i="10"/>
  <c r="AE27" i="10"/>
  <c r="AE26" i="10"/>
  <c r="AE24" i="10"/>
  <c r="AE22" i="10"/>
  <c r="AE14" i="10"/>
  <c r="AE13" i="10"/>
  <c r="AE12" i="10"/>
  <c r="AE11" i="10"/>
  <c r="AE20" i="10" s="1"/>
  <c r="AE8" i="10"/>
  <c r="AF20" i="10"/>
  <c r="AF34" i="10" s="1"/>
  <c r="AE86" i="8"/>
  <c r="AE95" i="8"/>
  <c r="AE76" i="8"/>
  <c r="AF74" i="8"/>
  <c r="AF73" i="8"/>
  <c r="AE40" i="8"/>
  <c r="AE57" i="8" s="1"/>
  <c r="AE61" i="8" s="1"/>
  <c r="AF38" i="8"/>
  <c r="AF20" i="8"/>
  <c r="AF16" i="8"/>
  <c r="AF94" i="8"/>
  <c r="AF93" i="8"/>
  <c r="AF92" i="8"/>
  <c r="AF91" i="8"/>
  <c r="AF90" i="8"/>
  <c r="AF85" i="8"/>
  <c r="AF84" i="8"/>
  <c r="AF83" i="8"/>
  <c r="AF82" i="8"/>
  <c r="AF81" i="8"/>
  <c r="AF80" i="8"/>
  <c r="AF79" i="8"/>
  <c r="AF75" i="8"/>
  <c r="AF72" i="8"/>
  <c r="AF71" i="8"/>
  <c r="AF70" i="8"/>
  <c r="AF69" i="8"/>
  <c r="AF68" i="8"/>
  <c r="AF67" i="8"/>
  <c r="AF66" i="8"/>
  <c r="AF65" i="8"/>
  <c r="AF64" i="8"/>
  <c r="AF60" i="8"/>
  <c r="AF59" i="8"/>
  <c r="AF56" i="8"/>
  <c r="AF55" i="8"/>
  <c r="AF54" i="8"/>
  <c r="AF53" i="8"/>
  <c r="AF52" i="8"/>
  <c r="AF51" i="8"/>
  <c r="AF50" i="8"/>
  <c r="AF49" i="8"/>
  <c r="AF48" i="8"/>
  <c r="AF47" i="8"/>
  <c r="AF46" i="8"/>
  <c r="AF45" i="8"/>
  <c r="AF44" i="8"/>
  <c r="AF43" i="8"/>
  <c r="AF42" i="8"/>
  <c r="AF39" i="8"/>
  <c r="AF37" i="8"/>
  <c r="AF36" i="8"/>
  <c r="AF35" i="8"/>
  <c r="AF34" i="8"/>
  <c r="AF33" i="8"/>
  <c r="AF32" i="8"/>
  <c r="AF31" i="8"/>
  <c r="AF30" i="8"/>
  <c r="AF29" i="8"/>
  <c r="AF28" i="8"/>
  <c r="AF27" i="8"/>
  <c r="AF26" i="8"/>
  <c r="AF25" i="8"/>
  <c r="AF24" i="8"/>
  <c r="AF23" i="8"/>
  <c r="AF22" i="8"/>
  <c r="AF21" i="8"/>
  <c r="AF19" i="8"/>
  <c r="AF18" i="8"/>
  <c r="AF17" i="8"/>
  <c r="AF15" i="8"/>
  <c r="AF14" i="8"/>
  <c r="AF11" i="8"/>
  <c r="AF9" i="8"/>
  <c r="AE44" i="5"/>
  <c r="AD44" i="5"/>
  <c r="AC44" i="5"/>
  <c r="AB44" i="5"/>
  <c r="AE35" i="5"/>
  <c r="AD35" i="5"/>
  <c r="AC35" i="5"/>
  <c r="AB35" i="5"/>
  <c r="AE29" i="5"/>
  <c r="AD29" i="5"/>
  <c r="AC29" i="5"/>
  <c r="AB29" i="5"/>
  <c r="AE23" i="5"/>
  <c r="AD23" i="5"/>
  <c r="AC23" i="5"/>
  <c r="AB23" i="5"/>
  <c r="AE16" i="5"/>
  <c r="AD16" i="5"/>
  <c r="AC16" i="5"/>
  <c r="AB16" i="5"/>
  <c r="AE10" i="5"/>
  <c r="AE17" i="5" s="1"/>
  <c r="AE30" i="5" s="1"/>
  <c r="AE36" i="5" s="1"/>
  <c r="AE40" i="5" s="1"/>
  <c r="AD10" i="5"/>
  <c r="AD17" i="5" s="1"/>
  <c r="AD30" i="5" s="1"/>
  <c r="AD36" i="5" s="1"/>
  <c r="AD40" i="5" s="1"/>
  <c r="AC10" i="5"/>
  <c r="AC17" i="5" s="1"/>
  <c r="AC30" i="5" s="1"/>
  <c r="AC36" i="5" s="1"/>
  <c r="AC40" i="5" s="1"/>
  <c r="AB10" i="5"/>
  <c r="AB17" i="5" s="1"/>
  <c r="AB30" i="5" s="1"/>
  <c r="AB36" i="5" s="1"/>
  <c r="AB40" i="5" s="1"/>
  <c r="AA44" i="5"/>
  <c r="AA35" i="5"/>
  <c r="AA29" i="5"/>
  <c r="AA23" i="5"/>
  <c r="AA16" i="5"/>
  <c r="AA10" i="5"/>
  <c r="AA17" i="5" s="1"/>
  <c r="AA30" i="5" s="1"/>
  <c r="AA36" i="5" s="1"/>
  <c r="AA40" i="5" s="1"/>
  <c r="Z44" i="5"/>
  <c r="Y44" i="5"/>
  <c r="X44" i="5"/>
  <c r="W44" i="5"/>
  <c r="Z35" i="5"/>
  <c r="Y35" i="5"/>
  <c r="X35" i="5"/>
  <c r="W35" i="5"/>
  <c r="Z29" i="5"/>
  <c r="Y29" i="5"/>
  <c r="X29" i="5"/>
  <c r="W29" i="5"/>
  <c r="Z23" i="5"/>
  <c r="Y23" i="5"/>
  <c r="X23" i="5"/>
  <c r="W23" i="5"/>
  <c r="X17" i="5"/>
  <c r="X30" i="5" s="1"/>
  <c r="X36" i="5" s="1"/>
  <c r="X40" i="5" s="1"/>
  <c r="Z16" i="5"/>
  <c r="Y16" i="5"/>
  <c r="X16" i="5"/>
  <c r="W16" i="5"/>
  <c r="Z10" i="5"/>
  <c r="Z17" i="5" s="1"/>
  <c r="Z30" i="5" s="1"/>
  <c r="Z36" i="5" s="1"/>
  <c r="Z40" i="5" s="1"/>
  <c r="Y10" i="5"/>
  <c r="Y17" i="5" s="1"/>
  <c r="Y30" i="5" s="1"/>
  <c r="Y36" i="5" s="1"/>
  <c r="Y40" i="5" s="1"/>
  <c r="X10" i="5"/>
  <c r="W10" i="5"/>
  <c r="W17" i="5" s="1"/>
  <c r="W30" i="5" s="1"/>
  <c r="W36" i="5" s="1"/>
  <c r="W40" i="5" s="1"/>
  <c r="AE88" i="8" l="1"/>
  <c r="AE96" i="8" s="1"/>
  <c r="AE34" i="10"/>
  <c r="Z88" i="2" l="1"/>
  <c r="Z92" i="2" s="1"/>
  <c r="Z80" i="2"/>
  <c r="Z64" i="2"/>
  <c r="Z66" i="2" s="1"/>
  <c r="Z36" i="2"/>
  <c r="Z44" i="2" s="1"/>
  <c r="Z19" i="2"/>
  <c r="Z21" i="2" s="1"/>
  <c r="AD20" i="10"/>
  <c r="AD34" i="10" s="1"/>
  <c r="AD86" i="8"/>
  <c r="AD76" i="8"/>
  <c r="AD40" i="8"/>
  <c r="AD57" i="8" s="1"/>
  <c r="AD61" i="8" s="1"/>
  <c r="AC86" i="8"/>
  <c r="AC76" i="8"/>
  <c r="AC40" i="8"/>
  <c r="AC57" i="8" s="1"/>
  <c r="AC61" i="8" s="1"/>
  <c r="Y88" i="2"/>
  <c r="Y92" i="2" s="1"/>
  <c r="Y80" i="2"/>
  <c r="Y64" i="2"/>
  <c r="Y66" i="2" s="1"/>
  <c r="Y81" i="2" s="1"/>
  <c r="Y36" i="2"/>
  <c r="Y44" i="2" s="1"/>
  <c r="Y19" i="2"/>
  <c r="Y21" i="2" s="1"/>
  <c r="AD88" i="8" l="1"/>
  <c r="Z46" i="2"/>
  <c r="Z81" i="2"/>
  <c r="Z94" i="2" s="1"/>
  <c r="AC88" i="8"/>
  <c r="AC96" i="8" s="1"/>
  <c r="AD95" i="8" s="1"/>
  <c r="AD96" i="8" s="1"/>
  <c r="Y46" i="2"/>
  <c r="Y94" i="2"/>
  <c r="AC20" i="10" l="1"/>
  <c r="AC34" i="10" s="1"/>
  <c r="AF95" i="8"/>
  <c r="AF76" i="8"/>
  <c r="X88" i="2"/>
  <c r="X92" i="2" s="1"/>
  <c r="X80" i="2"/>
  <c r="X64" i="2"/>
  <c r="X66" i="2" s="1"/>
  <c r="X81" i="2" s="1"/>
  <c r="X36" i="2"/>
  <c r="X44" i="2" s="1"/>
  <c r="X19" i="2"/>
  <c r="X21" i="2" s="1"/>
  <c r="X94" i="2" l="1"/>
  <c r="X46" i="2"/>
  <c r="AF86" i="8"/>
  <c r="AF40" i="8"/>
  <c r="AF57" i="8" s="1"/>
  <c r="AF61" i="8" s="1"/>
  <c r="AB20" i="10" l="1"/>
  <c r="AB34" i="10" s="1"/>
  <c r="AB86" i="8"/>
  <c r="AB76" i="8"/>
  <c r="AB40" i="8"/>
  <c r="AB57" i="8" s="1"/>
  <c r="AB61" i="8" s="1"/>
  <c r="W88" i="2"/>
  <c r="W92" i="2" s="1"/>
  <c r="W80" i="2"/>
  <c r="W64" i="2"/>
  <c r="W66" i="2" s="1"/>
  <c r="W36" i="2"/>
  <c r="W44" i="2" s="1"/>
  <c r="W19" i="2"/>
  <c r="W21" i="2" s="1"/>
  <c r="W46" i="2" l="1"/>
  <c r="AB88" i="8"/>
  <c r="W81" i="2"/>
  <c r="W94" i="2" s="1"/>
  <c r="AA20" i="10"/>
  <c r="AA34" i="10" s="1"/>
  <c r="Z20" i="10"/>
  <c r="Z34" i="10" s="1"/>
  <c r="AA86" i="8"/>
  <c r="Z86" i="8"/>
  <c r="AA76" i="8"/>
  <c r="Z76" i="8"/>
  <c r="AA40" i="8"/>
  <c r="AA57" i="8" s="1"/>
  <c r="AA61" i="8" s="1"/>
  <c r="Z40" i="8"/>
  <c r="Z57" i="8" s="1"/>
  <c r="Z61" i="8" s="1"/>
  <c r="V19" i="2"/>
  <c r="V21" i="2" s="1"/>
  <c r="V88" i="2"/>
  <c r="V92" i="2" s="1"/>
  <c r="V80" i="2"/>
  <c r="V64" i="2"/>
  <c r="V66" i="2" s="1"/>
  <c r="V36" i="2"/>
  <c r="V44" i="2" s="1"/>
  <c r="Y20" i="10"/>
  <c r="Y34" i="10" s="1"/>
  <c r="Y86" i="8"/>
  <c r="Y76" i="8"/>
  <c r="Y40" i="8"/>
  <c r="Y57" i="8" s="1"/>
  <c r="Y61" i="8" s="1"/>
  <c r="AB96" i="8" l="1"/>
  <c r="AF88" i="8"/>
  <c r="AF96" i="8" s="1"/>
  <c r="AA88" i="8"/>
  <c r="AA96" i="8" s="1"/>
  <c r="Z88" i="8"/>
  <c r="Z96" i="8" s="1"/>
  <c r="V81" i="2"/>
  <c r="V94" i="2" s="1"/>
  <c r="V46" i="2"/>
  <c r="Y88" i="8"/>
  <c r="Y96" i="8" s="1"/>
  <c r="U88" i="2" l="1"/>
  <c r="U92" i="2" s="1"/>
  <c r="U80" i="2"/>
  <c r="U64" i="2"/>
  <c r="U66" i="2" s="1"/>
  <c r="U81" i="2" s="1"/>
  <c r="U36" i="2"/>
  <c r="U44" i="2" s="1"/>
  <c r="U19" i="2"/>
  <c r="U21" i="2" s="1"/>
  <c r="U94" i="2" l="1"/>
  <c r="U46" i="2"/>
  <c r="X20" i="10"/>
  <c r="X34" i="10" s="1"/>
  <c r="X86" i="8"/>
  <c r="X76" i="8"/>
  <c r="X40" i="8"/>
  <c r="X57" i="8" s="1"/>
  <c r="X61" i="8" s="1"/>
  <c r="X88" i="8" s="1"/>
  <c r="X96" i="8" s="1"/>
  <c r="U55" i="8"/>
  <c r="P55" i="8"/>
  <c r="K55" i="8"/>
  <c r="F55" i="8"/>
  <c r="T88" i="2" l="1"/>
  <c r="T92" i="2" s="1"/>
  <c r="T80" i="2"/>
  <c r="T64" i="2"/>
  <c r="T66" i="2" s="1"/>
  <c r="T36" i="2"/>
  <c r="T44" i="2" s="1"/>
  <c r="T19" i="2"/>
  <c r="T21" i="2" s="1"/>
  <c r="T81" i="2" l="1"/>
  <c r="T94" i="2" s="1"/>
  <c r="T46" i="2"/>
  <c r="R86" i="8"/>
  <c r="R76" i="8"/>
  <c r="R40" i="8"/>
  <c r="R57" i="8" s="1"/>
  <c r="R61" i="8" s="1"/>
  <c r="R88" i="8" l="1"/>
  <c r="R96" i="8" s="1"/>
  <c r="W20" i="10" l="1"/>
  <c r="W34" i="10" s="1"/>
  <c r="W86" i="8"/>
  <c r="W76" i="8"/>
  <c r="W40" i="8"/>
  <c r="W57" i="8" s="1"/>
  <c r="W61" i="8" s="1"/>
  <c r="F39" i="8"/>
  <c r="K39" i="8"/>
  <c r="P39" i="8"/>
  <c r="V40" i="8"/>
  <c r="U39" i="8"/>
  <c r="T40" i="8"/>
  <c r="S40" i="8"/>
  <c r="Q40" i="8"/>
  <c r="M40" i="8"/>
  <c r="H40" i="8"/>
  <c r="C40" i="8"/>
  <c r="W88" i="8" l="1"/>
  <c r="W96" i="8" s="1"/>
  <c r="S88" i="2"/>
  <c r="S92" i="2" s="1"/>
  <c r="S80" i="2"/>
  <c r="S64" i="2"/>
  <c r="S66" i="2" s="1"/>
  <c r="S36" i="2"/>
  <c r="S44" i="2" s="1"/>
  <c r="S19" i="2"/>
  <c r="S21" i="2" s="1"/>
  <c r="S46" i="2" l="1"/>
  <c r="S81" i="2"/>
  <c r="S94" i="2" s="1"/>
  <c r="V20" i="10"/>
  <c r="V34" i="10" s="1"/>
  <c r="U20" i="10"/>
  <c r="U34" i="10" s="1"/>
  <c r="Q20" i="10"/>
  <c r="Q34" i="10" s="1"/>
  <c r="U95" i="8"/>
  <c r="U93" i="8"/>
  <c r="U92" i="8"/>
  <c r="U91" i="8"/>
  <c r="U90" i="8"/>
  <c r="V86" i="8"/>
  <c r="U85" i="8"/>
  <c r="U83" i="8"/>
  <c r="U82" i="8"/>
  <c r="U81" i="8"/>
  <c r="U80" i="8"/>
  <c r="U79" i="8"/>
  <c r="V76" i="8"/>
  <c r="U75" i="8"/>
  <c r="U72" i="8"/>
  <c r="U71" i="8"/>
  <c r="U70" i="8"/>
  <c r="U69" i="8"/>
  <c r="U68" i="8"/>
  <c r="U67" i="8"/>
  <c r="U66" i="8"/>
  <c r="U65" i="8"/>
  <c r="U64" i="8"/>
  <c r="U60" i="8"/>
  <c r="U59" i="8"/>
  <c r="U56" i="8"/>
  <c r="U54" i="8"/>
  <c r="U53" i="8"/>
  <c r="U52" i="8"/>
  <c r="U51" i="8"/>
  <c r="U50" i="8"/>
  <c r="U49" i="8"/>
  <c r="U47" i="8"/>
  <c r="U46" i="8"/>
  <c r="U45" i="8"/>
  <c r="U44" i="8"/>
  <c r="U43" i="8"/>
  <c r="U42" i="8"/>
  <c r="V57" i="8"/>
  <c r="V61" i="8" s="1"/>
  <c r="U37" i="8"/>
  <c r="U36" i="8"/>
  <c r="U35" i="8"/>
  <c r="U34" i="8"/>
  <c r="U33" i="8"/>
  <c r="U32" i="8"/>
  <c r="U31" i="8"/>
  <c r="U30" i="8"/>
  <c r="U29" i="8"/>
  <c r="U28" i="8"/>
  <c r="U27" i="8"/>
  <c r="U26" i="8"/>
  <c r="U25" i="8"/>
  <c r="U24" i="8"/>
  <c r="U23" i="8"/>
  <c r="U22" i="8"/>
  <c r="U21" i="8"/>
  <c r="U20" i="8"/>
  <c r="U19" i="8"/>
  <c r="U18" i="8"/>
  <c r="U17" i="8"/>
  <c r="U15" i="8"/>
  <c r="U14" i="8"/>
  <c r="U11" i="8"/>
  <c r="U9" i="8"/>
  <c r="Q92" i="8"/>
  <c r="Q85" i="8"/>
  <c r="Q86" i="8" s="1"/>
  <c r="Q76" i="8"/>
  <c r="Q57" i="8"/>
  <c r="Q61" i="8" s="1"/>
  <c r="P75" i="8"/>
  <c r="K75" i="8"/>
  <c r="F75" i="8"/>
  <c r="T76" i="8"/>
  <c r="S76" i="8"/>
  <c r="M76" i="8"/>
  <c r="L76" i="8"/>
  <c r="H76" i="8"/>
  <c r="C76" i="8"/>
  <c r="V44" i="5"/>
  <c r="U43" i="5"/>
  <c r="U42" i="5"/>
  <c r="U44" i="5" s="1"/>
  <c r="U39" i="5"/>
  <c r="V35" i="5"/>
  <c r="U34" i="5"/>
  <c r="U33" i="5"/>
  <c r="V29" i="5"/>
  <c r="U28" i="5"/>
  <c r="U27" i="5"/>
  <c r="U26" i="5"/>
  <c r="U25" i="5"/>
  <c r="V23" i="5"/>
  <c r="U22" i="5"/>
  <c r="U21" i="5"/>
  <c r="U20" i="5"/>
  <c r="V16" i="5"/>
  <c r="U15" i="5"/>
  <c r="U14" i="5"/>
  <c r="U13" i="5"/>
  <c r="V10" i="5"/>
  <c r="U9" i="5"/>
  <c r="U8" i="5"/>
  <c r="Q44" i="5"/>
  <c r="Q35" i="5"/>
  <c r="Q29" i="5"/>
  <c r="Q23" i="5"/>
  <c r="Q16" i="5"/>
  <c r="Q10" i="5"/>
  <c r="N88" i="2"/>
  <c r="N92" i="2" s="1"/>
  <c r="N80" i="2"/>
  <c r="N64" i="2"/>
  <c r="N66" i="2" s="1"/>
  <c r="N36" i="2"/>
  <c r="N44" i="2" s="1"/>
  <c r="N19" i="2"/>
  <c r="N21" i="2" s="1"/>
  <c r="U10" i="5" l="1"/>
  <c r="Q17" i="5"/>
  <c r="Q30" i="5" s="1"/>
  <c r="Q36" i="5" s="1"/>
  <c r="Q40" i="5" s="1"/>
  <c r="U16" i="5"/>
  <c r="U17" i="5" s="1"/>
  <c r="N81" i="2"/>
  <c r="N94" i="2" s="1"/>
  <c r="U76" i="8"/>
  <c r="V17" i="5"/>
  <c r="V30" i="5" s="1"/>
  <c r="V36" i="5" s="1"/>
  <c r="V40" i="5" s="1"/>
  <c r="U23" i="5"/>
  <c r="U29" i="5"/>
  <c r="U35" i="5"/>
  <c r="N46" i="2"/>
  <c r="V88" i="8"/>
  <c r="U40" i="8"/>
  <c r="U57" i="8" s="1"/>
  <c r="Q88" i="8"/>
  <c r="Q96" i="8" s="1"/>
  <c r="U30" i="5" l="1"/>
  <c r="U36" i="5" s="1"/>
  <c r="U40" i="5" s="1"/>
  <c r="V96" i="8"/>
  <c r="O20" i="8" l="1"/>
  <c r="O25" i="8" l="1"/>
  <c r="O24" i="8"/>
  <c r="O23" i="8"/>
  <c r="O17" i="8"/>
  <c r="O15" i="8"/>
  <c r="O11" i="8"/>
  <c r="O9" i="8"/>
  <c r="T20" i="10" l="1"/>
  <c r="T34" i="10" s="1"/>
  <c r="T86" i="8"/>
  <c r="T57" i="8"/>
  <c r="T61" i="8" s="1"/>
  <c r="T44" i="5"/>
  <c r="T35" i="5"/>
  <c r="T29" i="5"/>
  <c r="T23" i="5"/>
  <c r="T16" i="5"/>
  <c r="T10" i="5"/>
  <c r="Q88" i="2"/>
  <c r="Q92" i="2" s="1"/>
  <c r="Q80" i="2"/>
  <c r="Q64" i="2"/>
  <c r="Q66" i="2" s="1"/>
  <c r="Q36" i="2"/>
  <c r="Q44" i="2" s="1"/>
  <c r="Q19" i="2"/>
  <c r="Q21" i="2" s="1"/>
  <c r="Q81" i="2" l="1"/>
  <c r="Q94" i="2" s="1"/>
  <c r="T17" i="5"/>
  <c r="T30" i="5" s="1"/>
  <c r="T36" i="5" s="1"/>
  <c r="T40" i="5" s="1"/>
  <c r="T88" i="8"/>
  <c r="T96" i="8" s="1"/>
  <c r="Q46" i="2"/>
  <c r="P88" i="2" l="1"/>
  <c r="P92" i="2" s="1"/>
  <c r="N20" i="10" l="1"/>
  <c r="N34" i="10" l="1"/>
  <c r="S20" i="10" l="1"/>
  <c r="S34" i="10" s="1"/>
  <c r="N56" i="8" l="1"/>
  <c r="O56" i="8" s="1"/>
  <c r="N54" i="8"/>
  <c r="O54" i="8" s="1"/>
  <c r="N53" i="8"/>
  <c r="O53" i="8" s="1"/>
  <c r="N52" i="8"/>
  <c r="O52" i="8" s="1"/>
  <c r="N51" i="8"/>
  <c r="O51" i="8" s="1"/>
  <c r="N49" i="8"/>
  <c r="O49" i="8" s="1"/>
  <c r="N47" i="8"/>
  <c r="O47" i="8" s="1"/>
  <c r="N46" i="8"/>
  <c r="O46" i="8" s="1"/>
  <c r="N45" i="8"/>
  <c r="O45" i="8" s="1"/>
  <c r="N44" i="8"/>
  <c r="O44" i="8" s="1"/>
  <c r="N43" i="8"/>
  <c r="O43" i="8" s="1"/>
  <c r="N42" i="8"/>
  <c r="O42" i="8" s="1"/>
  <c r="N37" i="8"/>
  <c r="O37" i="8" s="1"/>
  <c r="N33" i="8"/>
  <c r="O33" i="8" s="1"/>
  <c r="N32" i="8"/>
  <c r="O32" i="8" s="1"/>
  <c r="N31" i="8"/>
  <c r="O31" i="8" s="1"/>
  <c r="N30" i="8"/>
  <c r="O30" i="8" s="1"/>
  <c r="N29" i="8"/>
  <c r="O29" i="8" s="1"/>
  <c r="N27" i="8"/>
  <c r="O27" i="8" s="1"/>
  <c r="N22" i="8"/>
  <c r="S86" i="8"/>
  <c r="U86" i="8" s="1"/>
  <c r="S57" i="8"/>
  <c r="S61" i="8" s="1"/>
  <c r="N43" i="5"/>
  <c r="N28" i="5"/>
  <c r="N22" i="5"/>
  <c r="P80" i="2"/>
  <c r="P64" i="2"/>
  <c r="P66" i="2" s="1"/>
  <c r="P36" i="2"/>
  <c r="P44" i="2" s="1"/>
  <c r="P19" i="2"/>
  <c r="P21" i="2" s="1"/>
  <c r="O22" i="8" l="1"/>
  <c r="N40" i="8"/>
  <c r="P81" i="2"/>
  <c r="P94" i="2" s="1"/>
  <c r="S88" i="8"/>
  <c r="S96" i="8" s="1"/>
  <c r="P46" i="2"/>
  <c r="O40" i="8" l="1"/>
  <c r="O57" i="8" s="1"/>
  <c r="N93" i="8"/>
  <c r="O93" i="8" s="1"/>
  <c r="I93" i="8"/>
  <c r="J93" i="8" s="1"/>
  <c r="D93" i="8"/>
  <c r="E93" i="8" s="1"/>
  <c r="F93" i="8" s="1"/>
  <c r="N92" i="8"/>
  <c r="O92" i="8" s="1"/>
  <c r="P91" i="8"/>
  <c r="K91" i="8"/>
  <c r="P90" i="8"/>
  <c r="K90" i="8"/>
  <c r="D90" i="8"/>
  <c r="M86" i="8"/>
  <c r="L86" i="8"/>
  <c r="H86" i="8"/>
  <c r="G86" i="8"/>
  <c r="C86" i="8"/>
  <c r="N85" i="8"/>
  <c r="O85" i="8" s="1"/>
  <c r="I85" i="8"/>
  <c r="D85" i="8"/>
  <c r="E85" i="8" s="1"/>
  <c r="F85" i="8" s="1"/>
  <c r="N83" i="8"/>
  <c r="N82" i="8"/>
  <c r="O82" i="8" s="1"/>
  <c r="I82" i="8"/>
  <c r="J82" i="8" s="1"/>
  <c r="K82" i="8" s="1"/>
  <c r="D82" i="8"/>
  <c r="E82" i="8" s="1"/>
  <c r="F82" i="8" s="1"/>
  <c r="N80" i="8"/>
  <c r="O80" i="8" s="1"/>
  <c r="I80" i="8"/>
  <c r="D80" i="8"/>
  <c r="E80" i="8" s="1"/>
  <c r="F80" i="8" s="1"/>
  <c r="N79" i="8"/>
  <c r="O79" i="8" s="1"/>
  <c r="I79" i="8"/>
  <c r="D79" i="8"/>
  <c r="N72" i="8"/>
  <c r="I72" i="8"/>
  <c r="J72" i="8" s="1"/>
  <c r="K72" i="8" s="1"/>
  <c r="D72" i="8"/>
  <c r="E72" i="8" s="1"/>
  <c r="N71" i="8"/>
  <c r="O71" i="8" s="1"/>
  <c r="I71" i="8"/>
  <c r="J71" i="8" s="1"/>
  <c r="K71" i="8" s="1"/>
  <c r="D71" i="8"/>
  <c r="E71" i="8" s="1"/>
  <c r="F71" i="8" s="1"/>
  <c r="N70" i="8"/>
  <c r="O70" i="8" s="1"/>
  <c r="I70" i="8"/>
  <c r="G70" i="8"/>
  <c r="D70" i="8"/>
  <c r="P69" i="8"/>
  <c r="N68" i="8"/>
  <c r="I68" i="8"/>
  <c r="J68" i="8" s="1"/>
  <c r="K68" i="8" s="1"/>
  <c r="D68" i="8"/>
  <c r="N67" i="8"/>
  <c r="O67" i="8" s="1"/>
  <c r="I67" i="8"/>
  <c r="J67" i="8" s="1"/>
  <c r="K67" i="8" s="1"/>
  <c r="G67" i="8"/>
  <c r="D67" i="8"/>
  <c r="E67" i="8" s="1"/>
  <c r="P66" i="8"/>
  <c r="K66" i="8"/>
  <c r="P65" i="8"/>
  <c r="K65" i="8"/>
  <c r="N64" i="8"/>
  <c r="I64" i="8"/>
  <c r="D64" i="8"/>
  <c r="N60" i="8"/>
  <c r="O60" i="8" s="1"/>
  <c r="I60" i="8"/>
  <c r="J60" i="8" s="1"/>
  <c r="K60" i="8" s="1"/>
  <c r="D60" i="8"/>
  <c r="N59" i="8"/>
  <c r="O59" i="8" s="1"/>
  <c r="I59" i="8"/>
  <c r="J59" i="8" s="1"/>
  <c r="K59" i="8" s="1"/>
  <c r="D59" i="8"/>
  <c r="H56" i="8"/>
  <c r="I56" i="8" s="1"/>
  <c r="C56" i="8"/>
  <c r="D56" i="8" s="1"/>
  <c r="P54" i="8"/>
  <c r="I54" i="8"/>
  <c r="D54" i="8"/>
  <c r="P53" i="8"/>
  <c r="I53" i="8"/>
  <c r="J53" i="8" s="1"/>
  <c r="K53" i="8" s="1"/>
  <c r="D53" i="8"/>
  <c r="I52" i="8"/>
  <c r="J52" i="8" s="1"/>
  <c r="K52" i="8" s="1"/>
  <c r="G52" i="8"/>
  <c r="D52" i="8"/>
  <c r="E52" i="8" s="1"/>
  <c r="P51" i="8"/>
  <c r="I51" i="8"/>
  <c r="D51" i="8"/>
  <c r="P49" i="8"/>
  <c r="I49" i="8"/>
  <c r="J49" i="8" s="1"/>
  <c r="K49" i="8" s="1"/>
  <c r="D49" i="8"/>
  <c r="I47" i="8"/>
  <c r="J47" i="8" s="1"/>
  <c r="K47" i="8" s="1"/>
  <c r="D47" i="8"/>
  <c r="E47" i="8" s="1"/>
  <c r="F47" i="8" s="1"/>
  <c r="I46" i="8"/>
  <c r="D46" i="8"/>
  <c r="E46" i="8" s="1"/>
  <c r="F46" i="8" s="1"/>
  <c r="P45" i="8"/>
  <c r="I45" i="8"/>
  <c r="D45" i="8"/>
  <c r="P44" i="8"/>
  <c r="I44" i="8"/>
  <c r="J44" i="8" s="1"/>
  <c r="K44" i="8" s="1"/>
  <c r="D44" i="8"/>
  <c r="I43" i="8"/>
  <c r="J43" i="8" s="1"/>
  <c r="K43" i="8" s="1"/>
  <c r="D43" i="8"/>
  <c r="E43" i="8" s="1"/>
  <c r="F43" i="8" s="1"/>
  <c r="I42" i="8"/>
  <c r="D42" i="8"/>
  <c r="E42" i="8" s="1"/>
  <c r="U61" i="8"/>
  <c r="M57" i="8"/>
  <c r="M61" i="8" s="1"/>
  <c r="C57" i="8"/>
  <c r="C61" i="8" s="1"/>
  <c r="P37" i="8"/>
  <c r="I37" i="8"/>
  <c r="J37" i="8" s="1"/>
  <c r="K37" i="8" s="1"/>
  <c r="D37" i="8"/>
  <c r="E37" i="8" s="1"/>
  <c r="P36" i="8"/>
  <c r="P34" i="8"/>
  <c r="I31" i="8"/>
  <c r="J31" i="8" s="1"/>
  <c r="K31" i="8" s="1"/>
  <c r="D31" i="8"/>
  <c r="E31" i="8" s="1"/>
  <c r="F31" i="8" s="1"/>
  <c r="I30" i="8"/>
  <c r="D30" i="8"/>
  <c r="P29" i="8"/>
  <c r="I29" i="8"/>
  <c r="D29" i="8"/>
  <c r="P28" i="8"/>
  <c r="K28" i="8"/>
  <c r="F28" i="8"/>
  <c r="P27" i="8"/>
  <c r="I27" i="8"/>
  <c r="J27" i="8" s="1"/>
  <c r="D27" i="8"/>
  <c r="I26" i="8"/>
  <c r="J26" i="8" s="1"/>
  <c r="K26" i="8" s="1"/>
  <c r="E26" i="8"/>
  <c r="F26" i="8" s="1"/>
  <c r="P25" i="8"/>
  <c r="J25" i="8"/>
  <c r="K25" i="8" s="1"/>
  <c r="P24" i="8"/>
  <c r="I24" i="8"/>
  <c r="D24" i="8"/>
  <c r="P23" i="8"/>
  <c r="I23" i="8"/>
  <c r="J23" i="8" s="1"/>
  <c r="D23" i="8"/>
  <c r="E23" i="8" s="1"/>
  <c r="I22" i="8"/>
  <c r="J22" i="8" s="1"/>
  <c r="K22" i="8" s="1"/>
  <c r="G22" i="8"/>
  <c r="G40" i="8" s="1"/>
  <c r="D22" i="8"/>
  <c r="E22" i="8" s="1"/>
  <c r="P21" i="8"/>
  <c r="J21" i="8"/>
  <c r="K21" i="8" s="1"/>
  <c r="I20" i="8"/>
  <c r="D20" i="8"/>
  <c r="E20" i="8" s="1"/>
  <c r="F20" i="8" s="1"/>
  <c r="P19" i="8"/>
  <c r="I19" i="8"/>
  <c r="J19" i="8" s="1"/>
  <c r="K19" i="8" s="1"/>
  <c r="E19" i="8"/>
  <c r="F19" i="8" s="1"/>
  <c r="P18" i="8"/>
  <c r="I17" i="8"/>
  <c r="D17" i="8"/>
  <c r="E17" i="8" s="1"/>
  <c r="F17" i="8" s="1"/>
  <c r="I15" i="8"/>
  <c r="D15" i="8"/>
  <c r="P14" i="8"/>
  <c r="L14" i="8"/>
  <c r="F14" i="8"/>
  <c r="I11" i="8"/>
  <c r="D11" i="8"/>
  <c r="I9" i="8"/>
  <c r="D9" i="8"/>
  <c r="J27" i="10"/>
  <c r="I27" i="10"/>
  <c r="H27" i="10"/>
  <c r="J24" i="10"/>
  <c r="I24" i="10"/>
  <c r="H24" i="10"/>
  <c r="E24" i="10"/>
  <c r="D24" i="10"/>
  <c r="C24" i="10"/>
  <c r="R20" i="10"/>
  <c r="R34" i="10" s="1"/>
  <c r="O20" i="10"/>
  <c r="O34" i="10" s="1"/>
  <c r="L20" i="10"/>
  <c r="L34" i="10" s="1"/>
  <c r="K20" i="10"/>
  <c r="K34" i="10" s="1"/>
  <c r="G20" i="10"/>
  <c r="G34" i="10" s="1"/>
  <c r="F20" i="10"/>
  <c r="F34" i="10" s="1"/>
  <c r="J19" i="10"/>
  <c r="I19" i="10"/>
  <c r="H19" i="10"/>
  <c r="E19" i="10"/>
  <c r="D19" i="10"/>
  <c r="C19" i="10"/>
  <c r="J18" i="10"/>
  <c r="I18" i="10"/>
  <c r="H18" i="10"/>
  <c r="E18" i="10"/>
  <c r="D18" i="10"/>
  <c r="C18" i="10"/>
  <c r="J17" i="10"/>
  <c r="I17" i="10"/>
  <c r="H17" i="10"/>
  <c r="E17" i="10"/>
  <c r="D17" i="10"/>
  <c r="C17" i="10"/>
  <c r="I16" i="10"/>
  <c r="H16" i="10"/>
  <c r="E16" i="10"/>
  <c r="D16" i="10"/>
  <c r="C16" i="10"/>
  <c r="J14" i="10"/>
  <c r="I14" i="10"/>
  <c r="H14" i="10"/>
  <c r="E14" i="10"/>
  <c r="D14" i="10"/>
  <c r="C14" i="10"/>
  <c r="J13" i="10"/>
  <c r="I13" i="10"/>
  <c r="H13" i="10"/>
  <c r="E13" i="10"/>
  <c r="D13" i="10"/>
  <c r="C13" i="10"/>
  <c r="M12" i="10"/>
  <c r="M20" i="10" s="1"/>
  <c r="M34" i="10" s="1"/>
  <c r="J12" i="10"/>
  <c r="I12" i="10"/>
  <c r="H12" i="10"/>
  <c r="E12" i="10"/>
  <c r="D12" i="10"/>
  <c r="C12" i="10"/>
  <c r="I11" i="10"/>
  <c r="H11" i="10"/>
  <c r="E11" i="10"/>
  <c r="D11" i="10"/>
  <c r="C11" i="10"/>
  <c r="R44" i="5"/>
  <c r="M44" i="5"/>
  <c r="L44" i="5"/>
  <c r="H44" i="5"/>
  <c r="G44" i="5"/>
  <c r="C44" i="5"/>
  <c r="O43" i="5"/>
  <c r="P43" i="5" s="1"/>
  <c r="I43" i="5"/>
  <c r="J43" i="5" s="1"/>
  <c r="K43" i="5" s="1"/>
  <c r="D43" i="5"/>
  <c r="E43" i="5" s="1"/>
  <c r="F43" i="5" s="1"/>
  <c r="N44" i="5"/>
  <c r="I42" i="5"/>
  <c r="D42" i="5"/>
  <c r="P39" i="5"/>
  <c r="I39" i="5"/>
  <c r="J39" i="5" s="1"/>
  <c r="K39" i="5" s="1"/>
  <c r="D39" i="5"/>
  <c r="E39" i="5" s="1"/>
  <c r="F39" i="5" s="1"/>
  <c r="R35" i="5"/>
  <c r="M35" i="5"/>
  <c r="L35" i="5"/>
  <c r="H35" i="5"/>
  <c r="G35" i="5"/>
  <c r="C35" i="5"/>
  <c r="P34" i="5"/>
  <c r="I34" i="5"/>
  <c r="J34" i="5" s="1"/>
  <c r="D34" i="5"/>
  <c r="E34" i="5" s="1"/>
  <c r="F34" i="5" s="1"/>
  <c r="N35" i="5"/>
  <c r="I33" i="5"/>
  <c r="D33" i="5"/>
  <c r="R29" i="5"/>
  <c r="M29" i="5"/>
  <c r="L29" i="5"/>
  <c r="H29" i="5"/>
  <c r="G29" i="5"/>
  <c r="C29" i="5"/>
  <c r="P28" i="5"/>
  <c r="I28" i="5"/>
  <c r="J28" i="5" s="1"/>
  <c r="K28" i="5" s="1"/>
  <c r="D28" i="5"/>
  <c r="E28" i="5" s="1"/>
  <c r="F28" i="5" s="1"/>
  <c r="P27" i="5"/>
  <c r="I27" i="5"/>
  <c r="J27" i="5" s="1"/>
  <c r="K27" i="5" s="1"/>
  <c r="D27" i="5"/>
  <c r="E27" i="5" s="1"/>
  <c r="F27" i="5" s="1"/>
  <c r="P26" i="5"/>
  <c r="I26" i="5"/>
  <c r="J26" i="5" s="1"/>
  <c r="K26" i="5" s="1"/>
  <c r="D26" i="5"/>
  <c r="E26" i="5" s="1"/>
  <c r="F26" i="5" s="1"/>
  <c r="N29" i="5"/>
  <c r="I25" i="5"/>
  <c r="J25" i="5" s="1"/>
  <c r="D25" i="5"/>
  <c r="E25" i="5" s="1"/>
  <c r="R23" i="5"/>
  <c r="M23" i="5"/>
  <c r="L23" i="5"/>
  <c r="H23" i="5"/>
  <c r="G23" i="5"/>
  <c r="C23" i="5"/>
  <c r="O22" i="5"/>
  <c r="P22" i="5" s="1"/>
  <c r="I22" i="5"/>
  <c r="J22" i="5" s="1"/>
  <c r="K22" i="5" s="1"/>
  <c r="D22" i="5"/>
  <c r="F22" i="5" s="1"/>
  <c r="P21" i="5"/>
  <c r="K21" i="5"/>
  <c r="F21" i="5"/>
  <c r="I20" i="5"/>
  <c r="D20" i="5"/>
  <c r="E20" i="5" s="1"/>
  <c r="E23" i="5" s="1"/>
  <c r="R16" i="5"/>
  <c r="M16" i="5"/>
  <c r="L16" i="5"/>
  <c r="H16" i="5"/>
  <c r="G16" i="5"/>
  <c r="C16" i="5"/>
  <c r="P15" i="5"/>
  <c r="I15" i="5"/>
  <c r="J15" i="5" s="1"/>
  <c r="K15" i="5" s="1"/>
  <c r="D15" i="5"/>
  <c r="E15" i="5" s="1"/>
  <c r="F15" i="5" s="1"/>
  <c r="P14" i="5"/>
  <c r="I14" i="5"/>
  <c r="J14" i="5" s="1"/>
  <c r="K14" i="5" s="1"/>
  <c r="D14" i="5"/>
  <c r="E14" i="5" s="1"/>
  <c r="F14" i="5" s="1"/>
  <c r="P13" i="5"/>
  <c r="I13" i="5"/>
  <c r="D13" i="5"/>
  <c r="E13" i="5" s="1"/>
  <c r="R10" i="5"/>
  <c r="M10" i="5"/>
  <c r="L10" i="5"/>
  <c r="H10" i="5"/>
  <c r="G10" i="5"/>
  <c r="C10" i="5"/>
  <c r="P9" i="5"/>
  <c r="I9" i="5"/>
  <c r="J9" i="5" s="1"/>
  <c r="K9" i="5" s="1"/>
  <c r="D9" i="5"/>
  <c r="E9" i="5" s="1"/>
  <c r="F9" i="5" s="1"/>
  <c r="I8" i="5"/>
  <c r="D8" i="5"/>
  <c r="E8" i="5" s="1"/>
  <c r="F8" i="5" s="1"/>
  <c r="O88" i="2"/>
  <c r="O92" i="2" s="1"/>
  <c r="M88" i="2"/>
  <c r="M92" i="2" s="1"/>
  <c r="L88" i="2"/>
  <c r="L92" i="2" s="1"/>
  <c r="K88" i="2"/>
  <c r="K92" i="2" s="1"/>
  <c r="J88" i="2"/>
  <c r="J92" i="2" s="1"/>
  <c r="I88" i="2"/>
  <c r="I92" i="2" s="1"/>
  <c r="H88" i="2"/>
  <c r="H92" i="2" s="1"/>
  <c r="G88" i="2"/>
  <c r="G92" i="2" s="1"/>
  <c r="F88" i="2"/>
  <c r="F92" i="2" s="1"/>
  <c r="E88" i="2"/>
  <c r="E92" i="2" s="1"/>
  <c r="D88" i="2"/>
  <c r="D92" i="2" s="1"/>
  <c r="C88" i="2"/>
  <c r="C92" i="2" s="1"/>
  <c r="O80" i="2"/>
  <c r="M80" i="2"/>
  <c r="L80" i="2"/>
  <c r="K80" i="2"/>
  <c r="J80" i="2"/>
  <c r="I80" i="2"/>
  <c r="H80" i="2"/>
  <c r="G80" i="2"/>
  <c r="F80" i="2"/>
  <c r="E80" i="2"/>
  <c r="D80" i="2"/>
  <c r="C80" i="2"/>
  <c r="O64" i="2"/>
  <c r="O66" i="2" s="1"/>
  <c r="M64" i="2"/>
  <c r="M66" i="2" s="1"/>
  <c r="L64" i="2"/>
  <c r="L66" i="2" s="1"/>
  <c r="K64" i="2"/>
  <c r="K66" i="2" s="1"/>
  <c r="J64" i="2"/>
  <c r="J66" i="2" s="1"/>
  <c r="I64" i="2"/>
  <c r="I66" i="2" s="1"/>
  <c r="I81" i="2" s="1"/>
  <c r="H64" i="2"/>
  <c r="H66" i="2" s="1"/>
  <c r="G64" i="2"/>
  <c r="G66" i="2" s="1"/>
  <c r="F64" i="2"/>
  <c r="F66" i="2" s="1"/>
  <c r="E64" i="2"/>
  <c r="E66" i="2" s="1"/>
  <c r="D64" i="2"/>
  <c r="D66" i="2" s="1"/>
  <c r="C64" i="2"/>
  <c r="C66" i="2" s="1"/>
  <c r="O36" i="2"/>
  <c r="O44" i="2" s="1"/>
  <c r="M36" i="2"/>
  <c r="M44" i="2" s="1"/>
  <c r="L36" i="2"/>
  <c r="L44" i="2" s="1"/>
  <c r="K36" i="2"/>
  <c r="K44" i="2" s="1"/>
  <c r="J36" i="2"/>
  <c r="J44" i="2" s="1"/>
  <c r="I36" i="2"/>
  <c r="I44" i="2" s="1"/>
  <c r="H36" i="2"/>
  <c r="H44" i="2" s="1"/>
  <c r="G36" i="2"/>
  <c r="G44" i="2" s="1"/>
  <c r="F36" i="2"/>
  <c r="F44" i="2" s="1"/>
  <c r="E36" i="2"/>
  <c r="E44" i="2" s="1"/>
  <c r="D36" i="2"/>
  <c r="D44" i="2" s="1"/>
  <c r="C36" i="2"/>
  <c r="C44" i="2" s="1"/>
  <c r="O19" i="2"/>
  <c r="O21" i="2" s="1"/>
  <c r="M19" i="2"/>
  <c r="M21" i="2" s="1"/>
  <c r="L19" i="2"/>
  <c r="L21" i="2" s="1"/>
  <c r="K19" i="2"/>
  <c r="K21" i="2" s="1"/>
  <c r="J19" i="2"/>
  <c r="J21" i="2" s="1"/>
  <c r="I19" i="2"/>
  <c r="I21" i="2" s="1"/>
  <c r="I46" i="2" s="1"/>
  <c r="H19" i="2"/>
  <c r="H21" i="2" s="1"/>
  <c r="G19" i="2"/>
  <c r="G21" i="2" s="1"/>
  <c r="F19" i="2"/>
  <c r="F21" i="2" s="1"/>
  <c r="E19" i="2"/>
  <c r="E21" i="2" s="1"/>
  <c r="D19" i="2"/>
  <c r="D21" i="2" s="1"/>
  <c r="C19" i="2"/>
  <c r="C21" i="2" s="1"/>
  <c r="C17" i="5" l="1"/>
  <c r="I40" i="8"/>
  <c r="G46" i="2"/>
  <c r="G81" i="2"/>
  <c r="O46" i="2"/>
  <c r="O81" i="2"/>
  <c r="O94" i="2" s="1"/>
  <c r="I10" i="5"/>
  <c r="J64" i="8"/>
  <c r="K64" i="8" s="1"/>
  <c r="I76" i="8"/>
  <c r="D76" i="8"/>
  <c r="O64" i="8"/>
  <c r="N76" i="8"/>
  <c r="L40" i="8"/>
  <c r="L57" i="8" s="1"/>
  <c r="L61" i="8" s="1"/>
  <c r="L88" i="8" s="1"/>
  <c r="L96" i="8" s="1"/>
  <c r="K46" i="2"/>
  <c r="C81" i="2"/>
  <c r="C94" i="2" s="1"/>
  <c r="K81" i="2"/>
  <c r="K94" i="2" s="1"/>
  <c r="I23" i="5"/>
  <c r="G76" i="8"/>
  <c r="C46" i="2"/>
  <c r="I44" i="5"/>
  <c r="E46" i="2"/>
  <c r="M46" i="2"/>
  <c r="E81" i="2"/>
  <c r="E94" i="2" s="1"/>
  <c r="M81" i="2"/>
  <c r="M94" i="2" s="1"/>
  <c r="I35" i="5"/>
  <c r="E9" i="8"/>
  <c r="D40" i="8"/>
  <c r="E29" i="5"/>
  <c r="D81" i="2"/>
  <c r="D94" i="2" s="1"/>
  <c r="H81" i="2"/>
  <c r="H94" i="2" s="1"/>
  <c r="L81" i="2"/>
  <c r="L94" i="2" s="1"/>
  <c r="C30" i="5"/>
  <c r="C36" i="5" s="1"/>
  <c r="C40" i="5" s="1"/>
  <c r="I16" i="5"/>
  <c r="D35" i="5"/>
  <c r="O61" i="8"/>
  <c r="I20" i="10"/>
  <c r="I34" i="10" s="1"/>
  <c r="M88" i="8"/>
  <c r="M96" i="8" s="1"/>
  <c r="O68" i="8"/>
  <c r="O72" i="8"/>
  <c r="P72" i="8" s="1"/>
  <c r="L17" i="5"/>
  <c r="L30" i="5" s="1"/>
  <c r="L36" i="5" s="1"/>
  <c r="L40" i="5" s="1"/>
  <c r="D46" i="2"/>
  <c r="F81" i="2"/>
  <c r="F94" i="2" s="1"/>
  <c r="J81" i="2"/>
  <c r="J94" i="2" s="1"/>
  <c r="H17" i="5"/>
  <c r="H30" i="5" s="1"/>
  <c r="H36" i="5" s="1"/>
  <c r="H40" i="5" s="1"/>
  <c r="O83" i="8"/>
  <c r="O86" i="8" s="1"/>
  <c r="P16" i="5"/>
  <c r="R17" i="5"/>
  <c r="R30" i="5" s="1"/>
  <c r="R36" i="5" s="1"/>
  <c r="R40" i="5" s="1"/>
  <c r="D23" i="5"/>
  <c r="E33" i="5"/>
  <c r="E35" i="5" s="1"/>
  <c r="G17" i="5"/>
  <c r="G30" i="5" s="1"/>
  <c r="G36" i="5" s="1"/>
  <c r="G40" i="5" s="1"/>
  <c r="J13" i="5"/>
  <c r="M17" i="5"/>
  <c r="M30" i="5" s="1"/>
  <c r="M36" i="5" s="1"/>
  <c r="M40" i="5" s="1"/>
  <c r="I29" i="5"/>
  <c r="D44" i="5"/>
  <c r="C20" i="10"/>
  <c r="C34" i="10" s="1"/>
  <c r="H20" i="10"/>
  <c r="H34" i="10" s="1"/>
  <c r="J20" i="5"/>
  <c r="K20" i="5" s="1"/>
  <c r="K23" i="5" s="1"/>
  <c r="F46" i="2"/>
  <c r="N10" i="5"/>
  <c r="N16" i="5"/>
  <c r="J46" i="2"/>
  <c r="D10" i="5"/>
  <c r="J29" i="5"/>
  <c r="J33" i="5"/>
  <c r="K33" i="5" s="1"/>
  <c r="E42" i="5"/>
  <c r="F10" i="5"/>
  <c r="C88" i="8"/>
  <c r="C96" i="8" s="1"/>
  <c r="N23" i="5"/>
  <c r="E10" i="5"/>
  <c r="K25" i="5"/>
  <c r="J20" i="10"/>
  <c r="J34" i="10" s="1"/>
  <c r="I57" i="8"/>
  <c r="I61" i="8" s="1"/>
  <c r="F52" i="8"/>
  <c r="K23" i="8"/>
  <c r="P26" i="8"/>
  <c r="E30" i="8"/>
  <c r="F30" i="8" s="1"/>
  <c r="P59" i="8"/>
  <c r="N86" i="8"/>
  <c r="J15" i="8"/>
  <c r="K15" i="8" s="1"/>
  <c r="P20" i="8"/>
  <c r="J24" i="8"/>
  <c r="K24" i="8" s="1"/>
  <c r="K27" i="8"/>
  <c r="P30" i="8"/>
  <c r="P33" i="8"/>
  <c r="F37" i="8"/>
  <c r="P60" i="8"/>
  <c r="P79" i="8"/>
  <c r="N57" i="8"/>
  <c r="N61" i="8" s="1"/>
  <c r="F67" i="8"/>
  <c r="F72" i="8"/>
  <c r="P11" i="8"/>
  <c r="P17" i="8"/>
  <c r="F22" i="8"/>
  <c r="F23" i="8"/>
  <c r="E24" i="8"/>
  <c r="F24" i="8" s="1"/>
  <c r="J29" i="8"/>
  <c r="K29" i="8" s="1"/>
  <c r="P32" i="8"/>
  <c r="E68" i="8"/>
  <c r="F68" i="8" s="1"/>
  <c r="P70" i="8"/>
  <c r="I86" i="8"/>
  <c r="P92" i="8"/>
  <c r="K93" i="8"/>
  <c r="E90" i="8"/>
  <c r="J79" i="8"/>
  <c r="K79" i="8" s="1"/>
  <c r="P80" i="8"/>
  <c r="P85" i="8"/>
  <c r="D86" i="8"/>
  <c r="E79" i="8"/>
  <c r="E86" i="8" s="1"/>
  <c r="J80" i="8"/>
  <c r="K80" i="8" s="1"/>
  <c r="P82" i="8"/>
  <c r="J85" i="8"/>
  <c r="K85" i="8" s="1"/>
  <c r="E64" i="8"/>
  <c r="P67" i="8"/>
  <c r="E70" i="8"/>
  <c r="F70" i="8" s="1"/>
  <c r="J70" i="8"/>
  <c r="K70" i="8" s="1"/>
  <c r="P71" i="8"/>
  <c r="E59" i="8"/>
  <c r="E60" i="8"/>
  <c r="F60" i="8" s="1"/>
  <c r="E56" i="8"/>
  <c r="F56" i="8" s="1"/>
  <c r="J56" i="8"/>
  <c r="K56" i="8" s="1"/>
  <c r="F42" i="8"/>
  <c r="P42" i="8"/>
  <c r="E44" i="8"/>
  <c r="J45" i="8"/>
  <c r="K45" i="8" s="1"/>
  <c r="P46" i="8"/>
  <c r="E49" i="8"/>
  <c r="F49" i="8" s="1"/>
  <c r="J51" i="8"/>
  <c r="K51" i="8" s="1"/>
  <c r="E53" i="8"/>
  <c r="F53" i="8" s="1"/>
  <c r="J54" i="8"/>
  <c r="K54" i="8" s="1"/>
  <c r="J42" i="8"/>
  <c r="P43" i="8"/>
  <c r="E45" i="8"/>
  <c r="F45" i="8" s="1"/>
  <c r="J46" i="8"/>
  <c r="K46" i="8" s="1"/>
  <c r="P47" i="8"/>
  <c r="E51" i="8"/>
  <c r="F51" i="8" s="1"/>
  <c r="P52" i="8"/>
  <c r="E54" i="8"/>
  <c r="F54" i="8" s="1"/>
  <c r="H57" i="8"/>
  <c r="H61" i="8" s="1"/>
  <c r="H88" i="8" s="1"/>
  <c r="H96" i="8" s="1"/>
  <c r="P56" i="8"/>
  <c r="G57" i="8"/>
  <c r="G61" i="8" s="1"/>
  <c r="K14" i="8"/>
  <c r="E15" i="8"/>
  <c r="J17" i="8"/>
  <c r="K17" i="8" s="1"/>
  <c r="J20" i="8"/>
  <c r="K20" i="8" s="1"/>
  <c r="P22" i="8"/>
  <c r="E27" i="8"/>
  <c r="F27" i="8" s="1"/>
  <c r="E29" i="8"/>
  <c r="F29" i="8" s="1"/>
  <c r="J30" i="8"/>
  <c r="K30" i="8" s="1"/>
  <c r="P31" i="8"/>
  <c r="D57" i="8"/>
  <c r="D61" i="8" s="1"/>
  <c r="J11" i="8"/>
  <c r="K11" i="8" s="1"/>
  <c r="E11" i="8"/>
  <c r="F11" i="8" s="1"/>
  <c r="J9" i="8"/>
  <c r="P9" i="8"/>
  <c r="E20" i="10"/>
  <c r="E34" i="10" s="1"/>
  <c r="D20" i="10"/>
  <c r="D34" i="10" s="1"/>
  <c r="J16" i="5"/>
  <c r="K29" i="5"/>
  <c r="F13" i="5"/>
  <c r="F16" i="5" s="1"/>
  <c r="E16" i="5"/>
  <c r="E17" i="5" s="1"/>
  <c r="O16" i="5"/>
  <c r="D16" i="5"/>
  <c r="D29" i="5"/>
  <c r="K13" i="5"/>
  <c r="K16" i="5" s="1"/>
  <c r="F20" i="5"/>
  <c r="F23" i="5" s="1"/>
  <c r="F25" i="5"/>
  <c r="F29" i="5" s="1"/>
  <c r="F33" i="5"/>
  <c r="F35" i="5" s="1"/>
  <c r="K34" i="5"/>
  <c r="O42" i="5"/>
  <c r="J8" i="5"/>
  <c r="O20" i="5"/>
  <c r="J42" i="5"/>
  <c r="H46" i="2"/>
  <c r="L46" i="2"/>
  <c r="I94" i="2"/>
  <c r="G94" i="2"/>
  <c r="D17" i="5" l="1"/>
  <c r="E76" i="8"/>
  <c r="K9" i="8"/>
  <c r="K40" i="8" s="1"/>
  <c r="J40" i="8"/>
  <c r="J57" i="8" s="1"/>
  <c r="J61" i="8" s="1"/>
  <c r="F9" i="8"/>
  <c r="E40" i="8"/>
  <c r="E57" i="8" s="1"/>
  <c r="E61" i="8" s="1"/>
  <c r="O76" i="8"/>
  <c r="O88" i="8" s="1"/>
  <c r="O96" i="8" s="1"/>
  <c r="E30" i="5"/>
  <c r="E36" i="5" s="1"/>
  <c r="E40" i="5" s="1"/>
  <c r="K76" i="8"/>
  <c r="I17" i="5"/>
  <c r="I30" i="5" s="1"/>
  <c r="I36" i="5" s="1"/>
  <c r="I40" i="5" s="1"/>
  <c r="F17" i="5"/>
  <c r="J76" i="8"/>
  <c r="U96" i="8"/>
  <c r="U88" i="8"/>
  <c r="P83" i="8"/>
  <c r="P86" i="8" s="1"/>
  <c r="J23" i="5"/>
  <c r="N17" i="5"/>
  <c r="N30" i="5" s="1"/>
  <c r="N36" i="5" s="1"/>
  <c r="N40" i="5" s="1"/>
  <c r="P68" i="8"/>
  <c r="K35" i="5"/>
  <c r="O35" i="5"/>
  <c r="P33" i="5"/>
  <c r="P35" i="5" s="1"/>
  <c r="E44" i="5"/>
  <c r="F42" i="5"/>
  <c r="F44" i="5" s="1"/>
  <c r="J35" i="5"/>
  <c r="O29" i="5"/>
  <c r="P25" i="5"/>
  <c r="P29" i="5" s="1"/>
  <c r="D30" i="5"/>
  <c r="D36" i="5" s="1"/>
  <c r="D40" i="5" s="1"/>
  <c r="D88" i="8"/>
  <c r="D96" i="8" s="1"/>
  <c r="G88" i="8"/>
  <c r="G96" i="8" s="1"/>
  <c r="N88" i="8"/>
  <c r="N96" i="8" s="1"/>
  <c r="I88" i="8"/>
  <c r="I96" i="8" s="1"/>
  <c r="F90" i="8"/>
  <c r="P93" i="8"/>
  <c r="K86" i="8"/>
  <c r="J86" i="8"/>
  <c r="F79" i="8"/>
  <c r="F86" i="8" s="1"/>
  <c r="F64" i="8"/>
  <c r="F76" i="8" s="1"/>
  <c r="P64" i="8"/>
  <c r="F59" i="8"/>
  <c r="F44" i="8"/>
  <c r="K42" i="8"/>
  <c r="P15" i="8"/>
  <c r="P40" i="8" s="1"/>
  <c r="P57" i="8" s="1"/>
  <c r="P61" i="8" s="1"/>
  <c r="F15" i="8"/>
  <c r="F30" i="5"/>
  <c r="F36" i="5" s="1"/>
  <c r="F40" i="5" s="1"/>
  <c r="P42" i="5"/>
  <c r="P44" i="5" s="1"/>
  <c r="O44" i="5"/>
  <c r="J44" i="5"/>
  <c r="K42" i="5"/>
  <c r="K44" i="5" s="1"/>
  <c r="P8" i="5"/>
  <c r="P10" i="5" s="1"/>
  <c r="P17" i="5" s="1"/>
  <c r="O10" i="5"/>
  <c r="O17" i="5" s="1"/>
  <c r="O23" i="5"/>
  <c r="P20" i="5"/>
  <c r="P23" i="5" s="1"/>
  <c r="J10" i="5"/>
  <c r="J17" i="5" s="1"/>
  <c r="K8" i="5"/>
  <c r="K10" i="5" s="1"/>
  <c r="K17" i="5" s="1"/>
  <c r="K30" i="5" s="1"/>
  <c r="K36" i="5" s="1"/>
  <c r="K40" i="5" s="1"/>
  <c r="F40" i="8" l="1"/>
  <c r="F57" i="8" s="1"/>
  <c r="F61" i="8" s="1"/>
  <c r="F88" i="8" s="1"/>
  <c r="F96" i="8" s="1"/>
  <c r="J30" i="5"/>
  <c r="E88" i="8"/>
  <c r="E96" i="8" s="1"/>
  <c r="J36" i="5"/>
  <c r="J40" i="5" s="1"/>
  <c r="P76" i="8"/>
  <c r="P88" i="8" s="1"/>
  <c r="P96" i="8" s="1"/>
  <c r="J88" i="8"/>
  <c r="J96" i="8" s="1"/>
  <c r="K57" i="8"/>
  <c r="K61" i="8" s="1"/>
  <c r="K88" i="8" s="1"/>
  <c r="K96" i="8" s="1"/>
  <c r="O30" i="5"/>
  <c r="O36" i="5" s="1"/>
  <c r="O40" i="5" s="1"/>
  <c r="P30" i="5"/>
  <c r="P36" i="5" s="1"/>
  <c r="P40" i="5" s="1"/>
</calcChain>
</file>

<file path=xl/sharedStrings.xml><?xml version="1.0" encoding="utf-8"?>
<sst xmlns="http://schemas.openxmlformats.org/spreadsheetml/2006/main" count="323" uniqueCount="232">
  <si>
    <t>2016</t>
  </si>
  <si>
    <t>2017</t>
  </si>
  <si>
    <t>2018</t>
  </si>
  <si>
    <t>Assets</t>
  </si>
  <si>
    <t>Current Assets</t>
  </si>
  <si>
    <t>Cash and cash equivalents</t>
  </si>
  <si>
    <t>Financial investments</t>
  </si>
  <si>
    <t>Derivative financial instruments</t>
  </si>
  <si>
    <t>Trade receivables</t>
  </si>
  <si>
    <t>Inventory</t>
  </si>
  <si>
    <t>Taxes recoverable</t>
  </si>
  <si>
    <t>Dividends receivable</t>
  </si>
  <si>
    <t>Other assets</t>
  </si>
  <si>
    <t>Assets classified as held-for-sale</t>
  </si>
  <si>
    <t>Non-current assets</t>
  </si>
  <si>
    <t>Long-term receivables</t>
  </si>
  <si>
    <t>Judicial deposits</t>
  </si>
  <si>
    <t>Deferred income tax and social contribution</t>
  </si>
  <si>
    <t>Related parties</t>
  </si>
  <si>
    <t>Investments</t>
  </si>
  <si>
    <t>Property, plant and equipment</t>
  </si>
  <si>
    <t>Intangible assets</t>
  </si>
  <si>
    <t>Biological assets</t>
  </si>
  <si>
    <t>Total assets</t>
  </si>
  <si>
    <t>Liabilities and equity</t>
  </si>
  <si>
    <t>Current liabilities</t>
  </si>
  <si>
    <t>Borrowing</t>
  </si>
  <si>
    <t>Confirming payables</t>
  </si>
  <si>
    <t>Trade payables</t>
  </si>
  <si>
    <t>Salaries and payroll charges</t>
  </si>
  <si>
    <t>Taxes payable</t>
  </si>
  <si>
    <t>Advances from clients</t>
  </si>
  <si>
    <t>Dividends payable</t>
  </si>
  <si>
    <t>Use of public assets</t>
  </si>
  <si>
    <t>Deferred revenue - performance obligations</t>
  </si>
  <si>
    <t>Deferred revenue - silver streaming</t>
  </si>
  <si>
    <t>Other liabilities</t>
  </si>
  <si>
    <t>Liabilities related to assets held-for-sale</t>
  </si>
  <si>
    <t>Non-current liabilities</t>
  </si>
  <si>
    <t>Provision</t>
  </si>
  <si>
    <t>Pension plan and post-employment health care benefits</t>
  </si>
  <si>
    <t>Total liabilities</t>
  </si>
  <si>
    <t>Equity</t>
  </si>
  <si>
    <t>Share capital</t>
  </si>
  <si>
    <t>Revenue reserves</t>
  </si>
  <si>
    <t>Carrying value adjustments</t>
  </si>
  <si>
    <t>Total equity attributable to the owners of the Company</t>
  </si>
  <si>
    <t>Total equity</t>
  </si>
  <si>
    <t>Total liabilities and equity</t>
  </si>
  <si>
    <t>Continuing operations</t>
  </si>
  <si>
    <t>Net revenue from products sold and services rendered</t>
  </si>
  <si>
    <t>Cost of products sold and services rendered</t>
  </si>
  <si>
    <t>Gross profit</t>
  </si>
  <si>
    <t>Operating income (expenses)</t>
  </si>
  <si>
    <t>Selling</t>
  </si>
  <si>
    <t>General and administrative</t>
  </si>
  <si>
    <t>Other operating income (expenses), net</t>
  </si>
  <si>
    <t>Operating profit before equity results and finance results</t>
  </si>
  <si>
    <t>Results from equity investments</t>
  </si>
  <si>
    <t>Equity in the results of investees</t>
  </si>
  <si>
    <t>Dividends received</t>
  </si>
  <si>
    <t>Realization of other comprehensive income on disposal of investments</t>
  </si>
  <si>
    <t>Finance results, net</t>
  </si>
  <si>
    <t>Finance income</t>
  </si>
  <si>
    <t>Finance costs</t>
  </si>
  <si>
    <t>Result of derivative financial instruments</t>
  </si>
  <si>
    <t>Foreign exchange losses, net</t>
  </si>
  <si>
    <t>Profit before income tax and social contribution</t>
  </si>
  <si>
    <t>Current</t>
  </si>
  <si>
    <t>Deferred</t>
  </si>
  <si>
    <t>Discontinued operations</t>
  </si>
  <si>
    <t>Loss on discontinued operations</t>
  </si>
  <si>
    <t>Profit for the year</t>
  </si>
  <si>
    <t>Income tax and social contribution</t>
  </si>
  <si>
    <t xml:space="preserve">Cash flow from operating activities </t>
  </si>
  <si>
    <t>Adjustments to items that do not represent changes in cash and cash equivalents</t>
  </si>
  <si>
    <t xml:space="preserve">   Equity in the results of investees</t>
  </si>
  <si>
    <t xml:space="preserve">   Deliberation of interim dividends of Fibria</t>
  </si>
  <si>
    <t xml:space="preserve">   Interest, indexation and foreign exchange variations</t>
  </si>
  <si>
    <t xml:space="preserve">   Gain on sales of fixed and intangible assets, net</t>
  </si>
  <si>
    <t xml:space="preserve">   Net gain from financial instrument - put option</t>
  </si>
  <si>
    <t xml:space="preserve">   Gain on debt renegotiation</t>
  </si>
  <si>
    <t xml:space="preserve">   Change in fair value of biological assets</t>
  </si>
  <si>
    <t xml:space="preserve">   Financial instruments - firm commitment</t>
  </si>
  <si>
    <t xml:space="preserve">   Derivative financial instruments</t>
  </si>
  <si>
    <t xml:space="preserve">   Constitution (reversal) of provision</t>
  </si>
  <si>
    <t xml:space="preserve">   Fair value adjustment</t>
  </si>
  <si>
    <t xml:space="preserve">Decrease (increase) in assets </t>
  </si>
  <si>
    <t xml:space="preserve">   Financial investments </t>
  </si>
  <si>
    <t xml:space="preserve">   Trade accounts receivable </t>
  </si>
  <si>
    <t xml:space="preserve">   Inventory </t>
  </si>
  <si>
    <t xml:space="preserve">   Taxes recoverable </t>
  </si>
  <si>
    <t xml:space="preserve">   Related parties</t>
  </si>
  <si>
    <t xml:space="preserve">   Other accounts receivable and other assets</t>
  </si>
  <si>
    <t xml:space="preserve">Increase (decrease) in liabilities </t>
  </si>
  <si>
    <t xml:space="preserve">   Trade payables </t>
  </si>
  <si>
    <t xml:space="preserve">   Salaries and social charges </t>
  </si>
  <si>
    <t xml:space="preserve">   Use of public assets</t>
  </si>
  <si>
    <t xml:space="preserve">   Taxes payable </t>
  </si>
  <si>
    <t xml:space="preserve">   Other obligations and other liabilities </t>
  </si>
  <si>
    <t>Cash provided by operating activities</t>
  </si>
  <si>
    <t xml:space="preserve">   Interest paid on borrowing and use of public assets </t>
  </si>
  <si>
    <t xml:space="preserve">   Income tax and social contribution paid </t>
  </si>
  <si>
    <t>Net cash provided by operating activities</t>
  </si>
  <si>
    <t xml:space="preserve">Cash flow from investment activities </t>
  </si>
  <si>
    <t xml:space="preserve">   Proceeds from disposals of fixed and intangible assets </t>
  </si>
  <si>
    <t xml:space="preserve">   Resources from the public offering and sale of shares of Nexa</t>
  </si>
  <si>
    <t xml:space="preserve">   Dividends received</t>
  </si>
  <si>
    <t xml:space="preserve">   Acquisitions of investments</t>
  </si>
  <si>
    <t xml:space="preserve">   Acquisitions of property, plant and equipment </t>
  </si>
  <si>
    <t xml:space="preserve">   Increase in biological assets </t>
  </si>
  <si>
    <t>Net cash provided by (used in) investment activities</t>
  </si>
  <si>
    <t>Cash flow from financing activities</t>
  </si>
  <si>
    <t xml:space="preserve">   New borrowing</t>
  </si>
  <si>
    <t xml:space="preserve">   Repayment of borrowing</t>
  </si>
  <si>
    <t xml:space="preserve">   Dividends paid</t>
  </si>
  <si>
    <t>Net cash used in financing activities</t>
  </si>
  <si>
    <t>Increase (decrease) in cash and cash equivalents</t>
  </si>
  <si>
    <t>Effect of companies excluded from consolidation</t>
  </si>
  <si>
    <t>Effect of fluctuations in exchange rates</t>
  </si>
  <si>
    <t>Cash and cash equivalents at the beginning of year</t>
  </si>
  <si>
    <t>Cash and cash equivalents at end of year</t>
  </si>
  <si>
    <t xml:space="preserve">   Gain in fair value in VTRM´s operation</t>
  </si>
  <si>
    <t xml:space="preserve">   Discontinued Operations</t>
  </si>
  <si>
    <t>Retained (loss) earnings</t>
  </si>
  <si>
    <t>Liquidity Fund - Reserve account</t>
  </si>
  <si>
    <t xml:space="preserve">   Discount on repurchase of bonds</t>
  </si>
  <si>
    <t xml:space="preserve">   Sale of Nexa shares</t>
  </si>
  <si>
    <t xml:space="preserve">   Share premium paid</t>
  </si>
  <si>
    <t>Cash increase resulting from incorporation</t>
  </si>
  <si>
    <t xml:space="preserve">   White-off of fixed assets without cash effect</t>
  </si>
  <si>
    <t>Reduction of cash resulting from reclassification to assets held-for-sale</t>
  </si>
  <si>
    <t>(R$ million)</t>
  </si>
  <si>
    <t xml:space="preserve">Non-controlling interests </t>
  </si>
  <si>
    <t>1Q16</t>
  </si>
  <si>
    <t>2Q16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</si>
  <si>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</si>
  <si>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</si>
  <si>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</si>
  <si>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</si>
  <si>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</si>
  <si>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</si>
  <si>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</si>
  <si>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</si>
  <si>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</si>
  <si>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</si>
  <si>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t xml:space="preserve">   Continuing operations</t>
  </si>
  <si>
    <t xml:space="preserve">      Equity in the results of investees</t>
  </si>
  <si>
    <t xml:space="preserve">      Income tax and social contribution</t>
  </si>
  <si>
    <t xml:space="preserve">      Depreciation, amortization and depletion</t>
  </si>
  <si>
    <t xml:space="preserve">   Discontinued operations</t>
  </si>
  <si>
    <t>Plus:</t>
  </si>
  <si>
    <t xml:space="preserve">   EBITDA - discontinued operations</t>
  </si>
  <si>
    <t xml:space="preserve">   Plus (less):</t>
  </si>
  <si>
    <t>Extraordinary items</t>
  </si>
  <si>
    <t xml:space="preserve">   Non-recurring items - discontinued operations</t>
  </si>
  <si>
    <t xml:space="preserve">   Gain on sale of investments, net</t>
  </si>
  <si>
    <t xml:space="preserve">   Reversal for impairment of investments</t>
  </si>
  <si>
    <t xml:space="preserve">   Fair value of biological assets</t>
  </si>
  <si>
    <t xml:space="preserve">   PERT payment with deferred tax credit</t>
  </si>
  <si>
    <t xml:space="preserve">   Other</t>
  </si>
  <si>
    <t>Adjusted annualized EBITDA</t>
  </si>
  <si>
    <t>Industrial segments</t>
  </si>
  <si>
    <t xml:space="preserve">   EBITDA before other additions and exceptional items</t>
  </si>
  <si>
    <t xml:space="preserve">* Values considering restatements
</t>
  </si>
  <si>
    <t>Consolidated Balance Sheet</t>
  </si>
  <si>
    <t>Consolidated Income Statement</t>
  </si>
  <si>
    <t>Consolidated Cash Flows Statement</t>
  </si>
  <si>
    <t>Consolidated Adjusted EBITDA</t>
  </si>
  <si>
    <t xml:space="preserve">   Repayment of leasing contracts</t>
  </si>
  <si>
    <t>Lease liabilities</t>
  </si>
  <si>
    <t>1Q19</t>
  </si>
  <si>
    <t>2Q19</t>
  </si>
  <si>
    <t xml:space="preserve">   Gain on transaction involving Fibria</t>
  </si>
  <si>
    <t xml:space="preserve">   Realization of other comprehensive income on Voto IV settlement </t>
  </si>
  <si>
    <t xml:space="preserve">   Net gain on sales of investment</t>
  </si>
  <si>
    <t xml:space="preserve">      Net financial results </t>
  </si>
  <si>
    <t xml:space="preserve">      Income and social contribution taxes</t>
  </si>
  <si>
    <t xml:space="preserve">   Reversal for impairment of property, plant, equipament and
   intangible assets</t>
  </si>
  <si>
    <t>09/30/2019</t>
  </si>
  <si>
    <t>3Q19</t>
  </si>
  <si>
    <t>2019</t>
  </si>
  <si>
    <t>4Q19</t>
  </si>
  <si>
    <t>1Q20</t>
  </si>
  <si>
    <t xml:space="preserve">   Credit of ICMS on the calculation bases of PIS and COFINS </t>
  </si>
  <si>
    <t xml:space="preserve">   Gain on advantageous purchase in aquisiton of investment</t>
  </si>
  <si>
    <t xml:space="preserve">   White-off of goodwill on the sale operations in China</t>
  </si>
  <si>
    <t>1T19</t>
  </si>
  <si>
    <t xml:space="preserve">   Increase in intangible assets</t>
  </si>
  <si>
    <t>Securitization of receivables</t>
  </si>
  <si>
    <t xml:space="preserve">   Provision (reversal) for the impairment of fixed, intangible assets and investments</t>
  </si>
  <si>
    <t xml:space="preserve">   Judicial deposits</t>
  </si>
  <si>
    <t xml:space="preserve">   Advances from clients</t>
  </si>
  <si>
    <t>2Q20</t>
  </si>
  <si>
    <t>3Q20</t>
  </si>
  <si>
    <t>Other high liquid short term investments</t>
  </si>
  <si>
    <t>2020</t>
  </si>
  <si>
    <t>4Q20</t>
  </si>
  <si>
    <r>
      <t xml:space="preserve">4Q19 </t>
    </r>
    <r>
      <rPr>
        <b/>
        <vertAlign val="superscript"/>
        <sz val="12"/>
        <color theme="0"/>
        <rFont val="Votorantim Sans"/>
      </rPr>
      <t>(1)</t>
    </r>
  </si>
  <si>
    <r>
      <t xml:space="preserve">2019 </t>
    </r>
    <r>
      <rPr>
        <b/>
        <vertAlign val="superscript"/>
        <sz val="12"/>
        <color theme="0"/>
        <rFont val="Votorantim Sans"/>
      </rPr>
      <t>(1)</t>
    </r>
  </si>
  <si>
    <t>(1) Restated value</t>
  </si>
  <si>
    <t>1Q21</t>
  </si>
  <si>
    <t xml:space="preserve">   Sales of investments</t>
  </si>
  <si>
    <t>2021</t>
  </si>
  <si>
    <t>2Q21</t>
  </si>
  <si>
    <t>Future energy contracts</t>
  </si>
  <si>
    <t>Advance for investment property</t>
  </si>
  <si>
    <t>3Q21</t>
  </si>
  <si>
    <t xml:space="preserve">   Cash received on initial public offering of investee</t>
  </si>
  <si>
    <t>Financial instruments - shares</t>
  </si>
  <si>
    <t>Derivative financial instruments - put option</t>
  </si>
  <si>
    <t>Right to use assets arising from leases</t>
  </si>
  <si>
    <t>Profit (loss) for the period attributable to the owners of the Company</t>
  </si>
  <si>
    <t>Profit (loss) from continuing operations</t>
  </si>
  <si>
    <t>Profit (loss) before income tax and social contribution</t>
  </si>
  <si>
    <t>Profit (loss) for the period</t>
  </si>
  <si>
    <t>Profit (loss) attributable to the owners of the Company</t>
  </si>
  <si>
    <t>Profit (loss) attributable to non-controlling interests</t>
  </si>
  <si>
    <r>
      <t xml:space="preserve">1Q20 </t>
    </r>
    <r>
      <rPr>
        <b/>
        <vertAlign val="superscript"/>
        <sz val="12"/>
        <color theme="0"/>
        <rFont val="Votorantim Sans"/>
      </rPr>
      <t>(1)</t>
    </r>
  </si>
  <si>
    <r>
      <t xml:space="preserve">2Q20 </t>
    </r>
    <r>
      <rPr>
        <b/>
        <vertAlign val="superscript"/>
        <sz val="12"/>
        <color theme="0"/>
        <rFont val="Votorantim Sans"/>
      </rPr>
      <t>(1)</t>
    </r>
  </si>
  <si>
    <r>
      <t xml:space="preserve">3Q20 </t>
    </r>
    <r>
      <rPr>
        <b/>
        <vertAlign val="superscript"/>
        <sz val="12"/>
        <color theme="0"/>
        <rFont val="Votorantim Sans"/>
      </rPr>
      <t>(1)</t>
    </r>
  </si>
  <si>
    <r>
      <t xml:space="preserve">4Q20 </t>
    </r>
    <r>
      <rPr>
        <b/>
        <vertAlign val="superscript"/>
        <sz val="12"/>
        <color theme="0"/>
        <rFont val="Votorantim Sans"/>
      </rPr>
      <t>(1)</t>
    </r>
  </si>
  <si>
    <r>
      <t xml:space="preserve">1Q21 </t>
    </r>
    <r>
      <rPr>
        <b/>
        <vertAlign val="superscript"/>
        <sz val="12"/>
        <color theme="0"/>
        <rFont val="Votorantim Sans"/>
      </rPr>
      <t>(1)</t>
    </r>
  </si>
  <si>
    <r>
      <t xml:space="preserve">2Q21 </t>
    </r>
    <r>
      <rPr>
        <b/>
        <vertAlign val="superscript"/>
        <sz val="12"/>
        <color theme="0"/>
        <rFont val="Votorantim Sans"/>
      </rPr>
      <t>(1)</t>
    </r>
  </si>
  <si>
    <r>
      <t xml:space="preserve">3Q21 </t>
    </r>
    <r>
      <rPr>
        <b/>
        <vertAlign val="superscript"/>
        <sz val="12"/>
        <color theme="0"/>
        <rFont val="Votorantim Sans"/>
      </rPr>
      <t>(1)</t>
    </r>
  </si>
  <si>
    <t>4Q21</t>
  </si>
  <si>
    <t xml:space="preserve">   Depreciation, amortization and depletion - discontinued operations</t>
  </si>
  <si>
    <t xml:space="preserve">   Depreciation, amortization and depletion</t>
  </si>
  <si>
    <t xml:space="preserve">   Renegotiation of hydrological risk</t>
  </si>
  <si>
    <t xml:space="preserve">   Acquisition of financial instruments - shares</t>
  </si>
  <si>
    <t xml:space="preserve">   Advance for acquisition of investment properties</t>
  </si>
  <si>
    <t xml:space="preserve">   Gain by adjustment to fair value in deconsolidation of investee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</si>
</sst>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(* #,##0_);_(* \(#,##0\);_(* &quot;-&quot;??__\);_(@_)"/>
    <numFmt numFmtId="165" formatCode="mm/dd/yy;@"/>
    <numFmt numFmtId="166" formatCode="#,##0;\(#,##0\)"/>
    <numFmt numFmtId="167" formatCode="#,###;\(#,###\)"/>
    <numFmt numFmtId="168" formatCode="##,##0;\(##,##0\)"/>
  </numFmts>
  <fonts count="12" x14ac:knownFonts="1">
    <font>
      <sz val="11"/>
      <color theme="1"/>
      <name val="Calibri"/>
      <family val="2"/>
      <scheme val="minor"/>
    </font>
    <font>
      <b/>
      <sz val="12"/>
      <color theme="0"/>
      <name val="Votorantim Sans"/>
    </font>
    <font>
      <b/>
      <sz val="12"/>
      <color theme="2" tint="-0.499984740745262"/>
      <name val="Votorantim Sans"/>
    </font>
    <font>
      <b/>
      <sz val="11"/>
      <color theme="2" tint="-0.499984740745262"/>
      <name val="Votorantim Sans"/>
    </font>
    <font>
      <sz val="11"/>
      <color theme="2" tint="-0.499984740745262"/>
      <name val="Votorantim Sans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Votorantim Sans"/>
    </font>
    <font>
      <sz val="11"/>
      <color theme="2" tint="-0.499984740745262"/>
      <name val="Calibri"/>
      <family val="2"/>
      <scheme val="minor"/>
    </font>
    <font>
      <b/>
      <vertAlign val="superscript"/>
      <sz val="12"/>
      <color theme="0"/>
      <name val="Votorantim Sans"/>
    </font>
    <font>
      <sz val="9"/>
      <color theme="2" tint="-0.499984740745262"/>
      <name val="Votorantim Sans"/>
    </font>
  </fonts>
  <fills count="5">
    <fill>
      <patternFill patternType="none"/>
    </fill>
    <fill>
      <patternFill patternType="gray125"/>
    </fill>
    <fill>
      <patternFill patternType="solid">
        <fgColor rgb="FF0000B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0" tint="-0.499984740745262"/>
      </top>
      <bottom style="double">
        <color theme="0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0" fontId="1" fillId="2" borderId="0" xfId="0" applyFont="1" applyFill="1"/>
    <xf numFmtId="0" fontId="2" fillId="0" borderId="0" xfId="0" applyFont="1" applyFill="1"/>
    <xf numFmtId="14" fontId="1" fillId="2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0" fontId="3" fillId="0" borderId="0" xfId="0" applyFont="1" applyFill="1"/>
    <xf numFmtId="3" fontId="3" fillId="0" borderId="0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0" fontId="5" fillId="0" borderId="0" xfId="0" applyFont="1"/>
    <xf numFmtId="3" fontId="3" fillId="0" borderId="4" xfId="0" applyNumberFormat="1" applyFont="1" applyBorder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4" fontId="4" fillId="0" borderId="5" xfId="0" applyNumberFormat="1" applyFont="1" applyBorder="1" applyAlignment="1">
      <alignment horizontal="right" vertical="center"/>
    </xf>
    <xf numFmtId="164" fontId="4" fillId="0" borderId="0" xfId="0" applyNumberFormat="1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4" fillId="0" borderId="0" xfId="0" applyFont="1" applyBorder="1"/>
    <xf numFmtId="3" fontId="4" fillId="0" borderId="5" xfId="0" applyNumberFormat="1" applyFont="1" applyBorder="1" applyAlignment="1">
      <alignment horizontal="right" vertical="center"/>
    </xf>
    <xf numFmtId="14" fontId="0" fillId="0" borderId="0" xfId="0" applyNumberFormat="1"/>
    <xf numFmtId="164" fontId="3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4" fillId="3" borderId="0" xfId="0" applyFont="1" applyFill="1"/>
    <xf numFmtId="0" fontId="3" fillId="0" borderId="0" xfId="0" applyFont="1" applyBorder="1"/>
    <xf numFmtId="0" fontId="5" fillId="0" borderId="0" xfId="0" applyFont="1" applyBorder="1"/>
    <xf numFmtId="0" fontId="4" fillId="0" borderId="0" xfId="0" applyFont="1" applyFill="1"/>
    <xf numFmtId="0" fontId="0" fillId="0" borderId="0" xfId="0" applyFont="1"/>
    <xf numFmtId="3" fontId="0" fillId="0" borderId="0" xfId="0" applyNumberFormat="1"/>
    <xf numFmtId="0" fontId="3" fillId="3" borderId="0" xfId="0" applyFont="1" applyFill="1" applyBorder="1"/>
    <xf numFmtId="0" fontId="4" fillId="3" borderId="0" xfId="0" applyFont="1" applyFill="1" applyBorder="1" applyAlignment="1">
      <alignment wrapText="1"/>
    </xf>
    <xf numFmtId="165" fontId="1" fillId="2" borderId="0" xfId="0" applyNumberFormat="1" applyFont="1" applyFill="1" applyAlignment="1">
      <alignment horizontal="center"/>
    </xf>
    <xf numFmtId="0" fontId="1" fillId="2" borderId="0" xfId="0" applyNumberFormat="1" applyFont="1" applyFill="1" applyAlignment="1">
      <alignment horizontal="center"/>
    </xf>
    <xf numFmtId="0" fontId="1" fillId="2" borderId="0" xfId="0" quotePrefix="1" applyNumberFormat="1" applyFont="1" applyFill="1" applyAlignment="1">
      <alignment horizontal="center"/>
    </xf>
    <xf numFmtId="0" fontId="0" fillId="4" borderId="0" xfId="0" applyFill="1"/>
    <xf numFmtId="3" fontId="4" fillId="4" borderId="0" xfId="0" applyNumberFormat="1" applyFont="1" applyFill="1" applyAlignment="1">
      <alignment horizontal="right" vertical="center"/>
    </xf>
    <xf numFmtId="164" fontId="4" fillId="4" borderId="5" xfId="0" applyNumberFormat="1" applyFont="1" applyFill="1" applyBorder="1" applyAlignment="1">
      <alignment horizontal="right" vertical="center"/>
    </xf>
    <xf numFmtId="3" fontId="3" fillId="4" borderId="0" xfId="0" applyNumberFormat="1" applyFont="1" applyFill="1" applyBorder="1" applyAlignment="1">
      <alignment horizontal="right" vertical="center"/>
    </xf>
    <xf numFmtId="164" fontId="4" fillId="4" borderId="0" xfId="0" applyNumberFormat="1" applyFont="1" applyFill="1" applyBorder="1" applyAlignment="1">
      <alignment horizontal="right" vertical="center"/>
    </xf>
    <xf numFmtId="164" fontId="4" fillId="4" borderId="1" xfId="0" applyNumberFormat="1" applyFont="1" applyFill="1" applyBorder="1" applyAlignment="1">
      <alignment horizontal="right" vertical="center"/>
    </xf>
    <xf numFmtId="164" fontId="4" fillId="4" borderId="2" xfId="0" applyNumberFormat="1" applyFont="1" applyFill="1" applyBorder="1" applyAlignment="1">
      <alignment horizontal="right" vertical="center"/>
    </xf>
    <xf numFmtId="164" fontId="3" fillId="4" borderId="5" xfId="0" applyNumberFormat="1" applyFont="1" applyFill="1" applyBorder="1" applyAlignment="1">
      <alignment horizontal="right" vertical="center"/>
    </xf>
    <xf numFmtId="3" fontId="4" fillId="4" borderId="4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right" vertical="center"/>
    </xf>
    <xf numFmtId="3" fontId="4" fillId="4" borderId="0" xfId="0" applyNumberFormat="1" applyFont="1" applyFill="1" applyBorder="1" applyAlignment="1">
      <alignment horizontal="right" vertical="center"/>
    </xf>
    <xf numFmtId="3" fontId="4" fillId="4" borderId="2" xfId="0" applyNumberFormat="1" applyFont="1" applyFill="1" applyBorder="1" applyAlignment="1">
      <alignment horizontal="right" vertical="center"/>
    </xf>
    <xf numFmtId="164" fontId="3" fillId="4" borderId="2" xfId="0" applyNumberFormat="1" applyFont="1" applyFill="1" applyBorder="1" applyAlignment="1">
      <alignment horizontal="right" vertical="center"/>
    </xf>
    <xf numFmtId="164" fontId="3" fillId="4" borderId="3" xfId="0" applyNumberFormat="1" applyFont="1" applyFill="1" applyBorder="1" applyAlignment="1">
      <alignment horizontal="right" vertical="center"/>
    </xf>
    <xf numFmtId="3" fontId="3" fillId="4" borderId="2" xfId="0" applyNumberFormat="1" applyFont="1" applyFill="1" applyBorder="1" applyAlignment="1">
      <alignment horizontal="right" vertical="center"/>
    </xf>
    <xf numFmtId="3" fontId="3" fillId="4" borderId="3" xfId="0" applyNumberFormat="1" applyFont="1" applyFill="1" applyBorder="1" applyAlignment="1">
      <alignment horizontal="right" vertical="center"/>
    </xf>
    <xf numFmtId="164" fontId="3" fillId="4" borderId="0" xfId="0" applyNumberFormat="1" applyFont="1" applyFill="1" applyBorder="1" applyAlignment="1">
      <alignment horizontal="right" vertical="center"/>
    </xf>
    <xf numFmtId="3" fontId="3" fillId="4" borderId="0" xfId="0" applyNumberFormat="1" applyFont="1" applyFill="1" applyAlignment="1">
      <alignment horizontal="right" vertical="center"/>
    </xf>
    <xf numFmtId="0" fontId="6" fillId="4" borderId="0" xfId="0" applyFont="1" applyFill="1"/>
    <xf numFmtId="3" fontId="4" fillId="3" borderId="0" xfId="0" applyNumberFormat="1" applyFont="1" applyFill="1" applyAlignment="1">
      <alignment horizontal="right" vertical="center"/>
    </xf>
    <xf numFmtId="0" fontId="7" fillId="0" borderId="0" xfId="0" applyFont="1"/>
    <xf numFmtId="3" fontId="8" fillId="0" borderId="0" xfId="0" applyNumberFormat="1" applyFont="1" applyAlignment="1">
      <alignment horizontal="right" vertical="center"/>
    </xf>
    <xf numFmtId="0" fontId="9" fillId="0" borderId="0" xfId="0" applyFont="1"/>
    <xf numFmtId="166" fontId="4" fillId="0" borderId="0" xfId="0" applyNumberFormat="1" applyFont="1" applyAlignment="1">
      <alignment horizontal="right" vertical="center"/>
    </xf>
    <xf numFmtId="166" fontId="4" fillId="0" borderId="5" xfId="0" applyNumberFormat="1" applyFont="1" applyBorder="1" applyAlignment="1">
      <alignment horizontal="right" vertical="center"/>
    </xf>
    <xf numFmtId="166" fontId="3" fillId="0" borderId="0" xfId="0" applyNumberFormat="1" applyFont="1" applyBorder="1" applyAlignment="1">
      <alignment horizontal="right" vertical="center"/>
    </xf>
    <xf numFmtId="166" fontId="4" fillId="0" borderId="0" xfId="0" applyNumberFormat="1" applyFont="1" applyBorder="1" applyAlignment="1">
      <alignment horizontal="right" vertical="center"/>
    </xf>
    <xf numFmtId="166" fontId="4" fillId="0" borderId="1" xfId="0" applyNumberFormat="1" applyFont="1" applyBorder="1" applyAlignment="1">
      <alignment horizontal="right" vertical="center"/>
    </xf>
    <xf numFmtId="166" fontId="4" fillId="0" borderId="2" xfId="0" applyNumberFormat="1" applyFont="1" applyBorder="1" applyAlignment="1">
      <alignment horizontal="right" vertical="center"/>
    </xf>
    <xf numFmtId="166" fontId="3" fillId="0" borderId="2" xfId="0" applyNumberFormat="1" applyFont="1" applyBorder="1" applyAlignment="1">
      <alignment horizontal="right" vertical="center"/>
    </xf>
    <xf numFmtId="166" fontId="4" fillId="0" borderId="4" xfId="0" applyNumberFormat="1" applyFont="1" applyBorder="1" applyAlignment="1">
      <alignment horizontal="right" vertical="center"/>
    </xf>
    <xf numFmtId="166" fontId="3" fillId="0" borderId="3" xfId="0" applyNumberFormat="1" applyFont="1" applyBorder="1" applyAlignment="1">
      <alignment horizontal="right" vertical="center"/>
    </xf>
    <xf numFmtId="166" fontId="3" fillId="0" borderId="0" xfId="0" applyNumberFormat="1" applyFont="1" applyAlignment="1">
      <alignment horizontal="right" vertical="center"/>
    </xf>
    <xf numFmtId="166" fontId="4" fillId="0" borderId="0" xfId="0" applyNumberFormat="1" applyFont="1" applyFill="1" applyAlignment="1">
      <alignment horizontal="right" vertical="center"/>
    </xf>
    <xf numFmtId="166" fontId="4" fillId="0" borderId="0" xfId="0" applyNumberFormat="1" applyFont="1" applyFill="1" applyBorder="1" applyAlignment="1">
      <alignment horizontal="right" vertical="center"/>
    </xf>
    <xf numFmtId="166" fontId="4" fillId="0" borderId="6" xfId="0" applyNumberFormat="1" applyFont="1" applyBorder="1" applyAlignment="1">
      <alignment horizontal="right" vertical="center"/>
    </xf>
    <xf numFmtId="166" fontId="3" fillId="0" borderId="7" xfId="0" applyNumberFormat="1" applyFont="1" applyBorder="1" applyAlignment="1">
      <alignment horizontal="right" vertical="center"/>
    </xf>
    <xf numFmtId="166" fontId="3" fillId="0" borderId="6" xfId="0" applyNumberFormat="1" applyFont="1" applyBorder="1" applyAlignment="1">
      <alignment horizontal="right" vertical="center"/>
    </xf>
    <xf numFmtId="166" fontId="4" fillId="3" borderId="0" xfId="0" applyNumberFormat="1" applyFont="1" applyFill="1" applyAlignment="1">
      <alignment horizontal="right" vertical="center"/>
    </xf>
    <xf numFmtId="3" fontId="4" fillId="0" borderId="0" xfId="0" applyNumberFormat="1" applyFont="1" applyFill="1" applyAlignment="1">
      <alignment horizontal="right" vertical="center"/>
    </xf>
    <xf numFmtId="0" fontId="0" fillId="0" borderId="0" xfId="0" applyFill="1"/>
    <xf numFmtId="0" fontId="4" fillId="0" borderId="1" xfId="0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3" xfId="0" applyNumberFormat="1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14" fontId="1" fillId="2" borderId="0" xfId="0" quotePrefix="1" applyNumberFormat="1" applyFont="1" applyFill="1" applyAlignment="1">
      <alignment horizontal="center"/>
    </xf>
    <xf numFmtId="167" fontId="4" fillId="4" borderId="0" xfId="0" applyNumberFormat="1" applyFont="1" applyFill="1" applyAlignment="1">
      <alignment horizontal="right" vertical="center"/>
    </xf>
    <xf numFmtId="167" fontId="4" fillId="4" borderId="5" xfId="0" applyNumberFormat="1" applyFont="1" applyFill="1" applyBorder="1" applyAlignment="1">
      <alignment horizontal="right" vertical="center"/>
    </xf>
    <xf numFmtId="167" fontId="3" fillId="4" borderId="0" xfId="0" applyNumberFormat="1" applyFont="1" applyFill="1" applyBorder="1" applyAlignment="1">
      <alignment horizontal="right" vertical="center"/>
    </xf>
    <xf numFmtId="167" fontId="4" fillId="4" borderId="0" xfId="0" applyNumberFormat="1" applyFont="1" applyFill="1" applyBorder="1" applyAlignment="1">
      <alignment horizontal="right" vertical="center"/>
    </xf>
    <xf numFmtId="167" fontId="4" fillId="4" borderId="1" xfId="0" applyNumberFormat="1" applyFont="1" applyFill="1" applyBorder="1" applyAlignment="1">
      <alignment horizontal="right" vertical="center"/>
    </xf>
    <xf numFmtId="167" fontId="4" fillId="4" borderId="2" xfId="0" applyNumberFormat="1" applyFont="1" applyFill="1" applyBorder="1" applyAlignment="1">
      <alignment horizontal="right" vertical="center"/>
    </xf>
    <xf numFmtId="167" fontId="3" fillId="4" borderId="2" xfId="0" applyNumberFormat="1" applyFont="1" applyFill="1" applyBorder="1" applyAlignment="1">
      <alignment horizontal="right" vertical="center"/>
    </xf>
    <xf numFmtId="167" fontId="4" fillId="4" borderId="4" xfId="0" applyNumberFormat="1" applyFont="1" applyFill="1" applyBorder="1" applyAlignment="1">
      <alignment horizontal="right" vertical="center"/>
    </xf>
    <xf numFmtId="167" fontId="3" fillId="4" borderId="3" xfId="0" applyNumberFormat="1" applyFont="1" applyFill="1" applyBorder="1" applyAlignment="1">
      <alignment horizontal="right" vertical="center"/>
    </xf>
    <xf numFmtId="166" fontId="3" fillId="0" borderId="0" xfId="0" applyNumberFormat="1" applyFont="1" applyFill="1"/>
    <xf numFmtId="166" fontId="0" fillId="0" borderId="0" xfId="0" applyNumberFormat="1"/>
    <xf numFmtId="166" fontId="0" fillId="4" borderId="0" xfId="0" applyNumberFormat="1" applyFill="1"/>
    <xf numFmtId="166" fontId="9" fillId="0" borderId="0" xfId="0" applyNumberFormat="1" applyFont="1"/>
    <xf numFmtId="166" fontId="3" fillId="0" borderId="0" xfId="0" applyNumberFormat="1" applyFont="1"/>
    <xf numFmtId="166" fontId="3" fillId="4" borderId="0" xfId="0" applyNumberFormat="1" applyFont="1" applyFill="1" applyBorder="1" applyAlignment="1">
      <alignment horizontal="right" vertical="center"/>
    </xf>
    <xf numFmtId="166" fontId="3" fillId="4" borderId="0" xfId="0" applyNumberFormat="1" applyFont="1" applyFill="1" applyAlignment="1">
      <alignment horizontal="right" vertical="center"/>
    </xf>
    <xf numFmtId="166" fontId="5" fillId="0" borderId="0" xfId="0" applyNumberFormat="1" applyFont="1"/>
    <xf numFmtId="166" fontId="4" fillId="0" borderId="0" xfId="0" applyNumberFormat="1" applyFont="1"/>
    <xf numFmtId="166" fontId="4" fillId="4" borderId="0" xfId="0" applyNumberFormat="1" applyFont="1" applyFill="1" applyAlignment="1">
      <alignment horizontal="right" vertical="center"/>
    </xf>
    <xf numFmtId="166" fontId="4" fillId="4" borderId="0" xfId="0" applyNumberFormat="1" applyFont="1" applyFill="1" applyBorder="1" applyAlignment="1">
      <alignment horizontal="right" vertical="center"/>
    </xf>
    <xf numFmtId="166" fontId="4" fillId="3" borderId="0" xfId="0" applyNumberFormat="1" applyFont="1" applyFill="1"/>
    <xf numFmtId="166" fontId="4" fillId="0" borderId="0" xfId="0" applyNumberFormat="1" applyFont="1" applyBorder="1"/>
    <xf numFmtId="166" fontId="0" fillId="0" borderId="0" xfId="0" applyNumberFormat="1" applyBorder="1"/>
    <xf numFmtId="166" fontId="4" fillId="3" borderId="0" xfId="0" applyNumberFormat="1" applyFont="1" applyFill="1" applyBorder="1"/>
    <xf numFmtId="166" fontId="4" fillId="4" borderId="6" xfId="0" applyNumberFormat="1" applyFont="1" applyFill="1" applyBorder="1" applyAlignment="1">
      <alignment horizontal="right" vertical="center"/>
    </xf>
    <xf numFmtId="166" fontId="3" fillId="4" borderId="2" xfId="0" applyNumberFormat="1" applyFont="1" applyFill="1" applyBorder="1" applyAlignment="1">
      <alignment horizontal="right" vertical="center"/>
    </xf>
    <xf numFmtId="166" fontId="3" fillId="4" borderId="6" xfId="0" applyNumberFormat="1" applyFont="1" applyFill="1" applyBorder="1" applyAlignment="1">
      <alignment horizontal="right" vertical="center"/>
    </xf>
    <xf numFmtId="166" fontId="3" fillId="0" borderId="6" xfId="0" applyNumberFormat="1" applyFont="1" applyFill="1" applyBorder="1" applyAlignment="1">
      <alignment horizontal="right" vertical="center"/>
    </xf>
    <xf numFmtId="166" fontId="4" fillId="4" borderId="5" xfId="0" applyNumberFormat="1" applyFont="1" applyFill="1" applyBorder="1" applyAlignment="1">
      <alignment horizontal="right" vertical="center"/>
    </xf>
    <xf numFmtId="166" fontId="3" fillId="4" borderId="3" xfId="0" applyNumberFormat="1" applyFont="1" applyFill="1" applyBorder="1" applyAlignment="1">
      <alignment horizontal="right" vertical="center"/>
    </xf>
    <xf numFmtId="166" fontId="3" fillId="0" borderId="8" xfId="0" applyNumberFormat="1" applyFont="1" applyBorder="1" applyAlignment="1">
      <alignment horizontal="right" vertical="center"/>
    </xf>
    <xf numFmtId="166" fontId="3" fillId="3" borderId="8" xfId="0" applyNumberFormat="1" applyFont="1" applyFill="1" applyBorder="1" applyAlignment="1">
      <alignment horizontal="right" vertical="center"/>
    </xf>
    <xf numFmtId="166" fontId="3" fillId="4" borderId="8" xfId="0" applyNumberFormat="1" applyFont="1" applyFill="1" applyBorder="1" applyAlignment="1">
      <alignment horizontal="right" vertical="center"/>
    </xf>
    <xf numFmtId="166" fontId="4" fillId="0" borderId="0" xfId="0" applyNumberFormat="1" applyFont="1" applyAlignment="1">
      <alignment horizontal="right"/>
    </xf>
    <xf numFmtId="166" fontId="9" fillId="0" borderId="0" xfId="0" applyNumberFormat="1" applyFont="1" applyBorder="1"/>
    <xf numFmtId="166" fontId="1" fillId="2" borderId="0" xfId="0" applyNumberFormat="1" applyFont="1" applyFill="1" applyAlignment="1">
      <alignment horizontal="center"/>
    </xf>
    <xf numFmtId="166" fontId="9" fillId="4" borderId="0" xfId="0" applyNumberFormat="1" applyFont="1" applyFill="1"/>
    <xf numFmtId="166" fontId="4" fillId="4" borderId="4" xfId="0" applyNumberFormat="1" applyFont="1" applyFill="1" applyBorder="1" applyAlignment="1">
      <alignment horizontal="right" vertical="center"/>
    </xf>
    <xf numFmtId="168" fontId="4" fillId="0" borderId="0" xfId="0" applyNumberFormat="1" applyFont="1" applyAlignment="1">
      <alignment horizontal="right" vertical="center"/>
    </xf>
    <xf numFmtId="168" fontId="4" fillId="0" borderId="5" xfId="0" applyNumberFormat="1" applyFont="1" applyBorder="1" applyAlignment="1">
      <alignment horizontal="right" vertical="center"/>
    </xf>
    <xf numFmtId="168" fontId="4" fillId="0" borderId="1" xfId="0" applyNumberFormat="1" applyFont="1" applyBorder="1" applyAlignment="1">
      <alignment horizontal="right" vertical="center"/>
    </xf>
    <xf numFmtId="168" fontId="3" fillId="0" borderId="2" xfId="0" applyNumberFormat="1" applyFont="1" applyBorder="1" applyAlignment="1">
      <alignment horizontal="right" vertical="center"/>
    </xf>
    <xf numFmtId="168" fontId="4" fillId="0" borderId="4" xfId="0" applyNumberFormat="1" applyFont="1" applyBorder="1" applyAlignment="1">
      <alignment horizontal="right" vertical="center"/>
    </xf>
    <xf numFmtId="168" fontId="4" fillId="0" borderId="2" xfId="0" applyNumberFormat="1" applyFont="1" applyBorder="1" applyAlignment="1">
      <alignment horizontal="right" vertical="center"/>
    </xf>
    <xf numFmtId="168" fontId="3" fillId="0" borderId="3" xfId="0" applyNumberFormat="1" applyFont="1" applyBorder="1" applyAlignment="1">
      <alignment horizontal="right" vertical="center"/>
    </xf>
    <xf numFmtId="166" fontId="4" fillId="0" borderId="0" xfId="0" applyNumberFormat="1" applyFont="1" applyAlignment="1">
      <alignment horizontal="left"/>
    </xf>
    <xf numFmtId="0" fontId="11" fillId="0" borderId="0" xfId="0" applyFont="1"/>
    <xf numFmtId="3" fontId="4" fillId="0" borderId="9" xfId="0" applyNumberFormat="1" applyFont="1" applyBorder="1" applyAlignment="1">
      <alignment horizontal="right" vertical="center"/>
    </xf>
    <xf numFmtId="167" fontId="3" fillId="4" borderId="0" xfId="0" applyNumberFormat="1" applyFont="1" applyFill="1" applyAlignment="1">
      <alignment horizontal="right" vertical="center"/>
    </xf>
    <xf numFmtId="166" fontId="4" fillId="0" borderId="6" xfId="0" applyNumberFormat="1" applyFont="1" applyFill="1" applyBorder="1" applyAlignment="1">
      <alignment horizontal="right" vertical="center"/>
    </xf>
    <xf numFmtId="166" fontId="3" fillId="0" borderId="0" xfId="0" applyNumberFormat="1" applyFont="1" applyFill="1" applyAlignment="1">
      <alignment horizontal="right" vertical="center"/>
    </xf>
    <xf numFmtId="166" fontId="3" fillId="0" borderId="7" xfId="0" applyNumberFormat="1" applyFont="1" applyFill="1" applyBorder="1" applyAlignment="1">
      <alignment horizontal="right" vertical="center"/>
    </xf>
    <xf numFmtId="166" fontId="4" fillId="0" borderId="5" xfId="0" applyNumberFormat="1" applyFont="1" applyFill="1" applyBorder="1" applyAlignment="1">
      <alignment horizontal="right" vertical="center"/>
    </xf>
    <xf numFmtId="14" fontId="1" fillId="2" borderId="0" xfId="0" quotePrefix="1" applyNumberFormat="1" applyFont="1" applyFill="1" applyAlignment="1">
      <alignment horizontal="center"/>
    </xf>
    <xf numFmtId="168" fontId="3" fillId="0" borderId="0" xfId="0" applyNumberFormat="1" applyFon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1" fillId="2" borderId="0" xfId="0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  <xf numFmtId="165" fontId="1" fillId="2" borderId="0" xfId="0" quotePrefix="1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BE"/>
      <color rgb="FF0C4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Income Statement'!A1"/><Relationship Id="rId2" Type="http://schemas.openxmlformats.org/officeDocument/2006/relationships/hyperlink" Target="#'Balance Sheet'!A1"/><Relationship Id="rId1" Type="http://schemas.openxmlformats.org/officeDocument/2006/relationships/image" Target="../media/image1.tif"/><Relationship Id="rId5" Type="http://schemas.openxmlformats.org/officeDocument/2006/relationships/hyperlink" Target="#'Adjusted EBITDA'!A1"/><Relationship Id="rId4" Type="http://schemas.openxmlformats.org/officeDocument/2006/relationships/hyperlink" Target="#'Cash Flows Statement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COVER!A1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COVER!A1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OVER!A1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Cover!A1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621101</xdr:colOff>
      <xdr:row>38</xdr:row>
      <xdr:rowOff>8627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468277A5-4C63-4A8E-87C3-C3FD7F2B774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88656" cy="6892506"/>
        </a:xfrm>
        <a:prstGeom prst="rect">
          <a:avLst/>
        </a:prstGeom>
      </xdr:spPr>
    </xdr:pic>
    <xdr:clientData/>
  </xdr:twoCellAnchor>
  <xdr:twoCellAnchor>
    <xdr:from>
      <xdr:col>3</xdr:col>
      <xdr:colOff>161924</xdr:colOff>
      <xdr:row>0</xdr:row>
      <xdr:rowOff>92871</xdr:rowOff>
    </xdr:from>
    <xdr:to>
      <xdr:col>9</xdr:col>
      <xdr:colOff>304800</xdr:colOff>
      <xdr:row>3</xdr:row>
      <xdr:rowOff>71705</xdr:rowOff>
    </xdr:to>
    <xdr:sp macro="" textlink="">
      <xdr:nvSpPr>
        <xdr:cNvPr id="6" name="CaixaDeTexto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990724" y="92871"/>
          <a:ext cx="3800476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8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Consolidated Balance Sheet</a:t>
          </a:r>
        </a:p>
      </xdr:txBody>
    </xdr:sp>
    <xdr:clientData/>
  </xdr:twoCellAnchor>
  <xdr:twoCellAnchor>
    <xdr:from>
      <xdr:col>3</xdr:col>
      <xdr:colOff>142874</xdr:colOff>
      <xdr:row>2</xdr:row>
      <xdr:rowOff>85726</xdr:rowOff>
    </xdr:from>
    <xdr:to>
      <xdr:col>9</xdr:col>
      <xdr:colOff>609599</xdr:colOff>
      <xdr:row>5</xdr:row>
      <xdr:rowOff>64560</xdr:rowOff>
    </xdr:to>
    <xdr:sp macro="" textlink="">
      <xdr:nvSpPr>
        <xdr:cNvPr id="7" name="CaixaDeTexto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971674" y="466726"/>
          <a:ext cx="4124325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8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Consolidated</a:t>
          </a:r>
          <a:r>
            <a:rPr lang="pt-BR" sz="18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 </a:t>
          </a:r>
          <a:r>
            <a:rPr lang="pt-BR" sz="18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Income Statement</a:t>
          </a:r>
        </a:p>
      </xdr:txBody>
    </xdr:sp>
    <xdr:clientData/>
  </xdr:twoCellAnchor>
  <xdr:twoCellAnchor>
    <xdr:from>
      <xdr:col>3</xdr:col>
      <xdr:colOff>142874</xdr:colOff>
      <xdr:row>4</xdr:row>
      <xdr:rowOff>166688</xdr:rowOff>
    </xdr:from>
    <xdr:to>
      <xdr:col>10</xdr:col>
      <xdr:colOff>0</xdr:colOff>
      <xdr:row>7</xdr:row>
      <xdr:rowOff>145522</xdr:rowOff>
    </xdr:to>
    <xdr:sp macro="" textlink="">
      <xdr:nvSpPr>
        <xdr:cNvPr id="8" name="CaixaDeTexto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971674" y="928688"/>
          <a:ext cx="4124326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8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Consolidated Cash Flows Statement</a:t>
          </a:r>
          <a:endParaRPr lang="pt-BR" sz="1800" b="1">
            <a:solidFill>
              <a:schemeClr val="tx1">
                <a:lumMod val="65000"/>
                <a:lumOff val="35000"/>
              </a:schemeClr>
            </a:solidFill>
            <a:latin typeface="Votorantim Sans" panose="00000500000000000000" pitchFamily="2" charset="0"/>
          </a:endParaRPr>
        </a:p>
      </xdr:txBody>
    </xdr:sp>
    <xdr:clientData/>
  </xdr:twoCellAnchor>
  <xdr:twoCellAnchor>
    <xdr:from>
      <xdr:col>3</xdr:col>
      <xdr:colOff>142874</xdr:colOff>
      <xdr:row>7</xdr:row>
      <xdr:rowOff>83343</xdr:rowOff>
    </xdr:from>
    <xdr:to>
      <xdr:col>9</xdr:col>
      <xdr:colOff>609599</xdr:colOff>
      <xdr:row>10</xdr:row>
      <xdr:rowOff>62177</xdr:rowOff>
    </xdr:to>
    <xdr:sp macro="" textlink="">
      <xdr:nvSpPr>
        <xdr:cNvPr id="10" name="CaixaDeTexto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971674" y="1416843"/>
          <a:ext cx="4124325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8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Consolidated Adjusted</a:t>
          </a:r>
          <a:r>
            <a:rPr lang="pt-BR" sz="18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 EBITDA</a:t>
          </a:r>
          <a:endParaRPr lang="pt-BR" sz="1800" b="1">
            <a:solidFill>
              <a:schemeClr val="tx1">
                <a:lumMod val="65000"/>
                <a:lumOff val="35000"/>
              </a:schemeClr>
            </a:solidFill>
            <a:latin typeface="Votorantim Sans" panose="00000500000000000000" pitchFamily="2" charset="0"/>
          </a:endParaRPr>
        </a:p>
      </xdr:txBody>
    </xdr:sp>
    <xdr:clientData/>
  </xdr:twoCellAnchor>
  <xdr:twoCellAnchor>
    <xdr:from>
      <xdr:col>2</xdr:col>
      <xdr:colOff>431321</xdr:colOff>
      <xdr:row>13</xdr:row>
      <xdr:rowOff>113940</xdr:rowOff>
    </xdr:from>
    <xdr:to>
      <xdr:col>9</xdr:col>
      <xdr:colOff>500332</xdr:colOff>
      <xdr:row>21</xdr:row>
      <xdr:rowOff>20651</xdr:rowOff>
    </xdr:to>
    <xdr:sp macro="" textlink="">
      <xdr:nvSpPr>
        <xdr:cNvPr id="12" name="Caixa de Texto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690778" y="2468951"/>
          <a:ext cx="4477109" cy="13559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marL="0" indent="0" algn="r">
            <a:spcAft>
              <a:spcPts val="0"/>
            </a:spcAft>
          </a:pPr>
          <a:r>
            <a:rPr lang="en-US" sz="2800" b="1">
              <a:solidFill>
                <a:srgbClr val="404040"/>
              </a:solidFill>
              <a:effectLst/>
              <a:latin typeface="Votorantim Sans Medium" panose="02010603030202050203" pitchFamily="2" charset="0"/>
              <a:ea typeface="MS Mincho"/>
              <a:cs typeface="Times New Roman" panose="02020603050405020304" pitchFamily="18" charset="0"/>
            </a:rPr>
            <a:t>Votorantim S.A.</a:t>
          </a:r>
          <a:endParaRPr lang="pt-BR" sz="2800" b="1">
            <a:solidFill>
              <a:srgbClr val="404040"/>
            </a:solidFill>
            <a:effectLst/>
            <a:latin typeface="Votorantim Sans Medium" panose="02010603030202050203" pitchFamily="2" charset="0"/>
            <a:ea typeface="MS Mincho"/>
            <a:cs typeface="Times New Roman" panose="02020603050405020304" pitchFamily="18" charset="0"/>
          </a:endParaRPr>
        </a:p>
        <a:p>
          <a:pPr marL="0" indent="0" algn="r">
            <a:spcAft>
              <a:spcPts val="0"/>
            </a:spcAft>
          </a:pPr>
          <a:r>
            <a:rPr lang="pt-BR" sz="2800" b="1">
              <a:solidFill>
                <a:srgbClr val="0C46E6"/>
              </a:solidFill>
              <a:effectLst/>
              <a:latin typeface="Votorantim Sans Medium" panose="02010603030202050203" pitchFamily="2" charset="0"/>
              <a:ea typeface="MS Mincho"/>
              <a:cs typeface="Times New Roman" panose="02020603050405020304" pitchFamily="18" charset="0"/>
            </a:rPr>
            <a:t>Spreadsheet of results 4Q21</a:t>
          </a:r>
        </a:p>
      </xdr:txBody>
    </xdr:sp>
    <xdr:clientData/>
  </xdr:twoCellAnchor>
  <xdr:twoCellAnchor>
    <xdr:from>
      <xdr:col>9</xdr:col>
      <xdr:colOff>500332</xdr:colOff>
      <xdr:row>14</xdr:row>
      <xdr:rowOff>8623</xdr:rowOff>
    </xdr:from>
    <xdr:to>
      <xdr:col>9</xdr:col>
      <xdr:colOff>500332</xdr:colOff>
      <xdr:row>19</xdr:row>
      <xdr:rowOff>25875</xdr:rowOff>
    </xdr:to>
    <xdr:cxnSp macro="">
      <xdr:nvCxnSpPr>
        <xdr:cNvPr id="13" name="Conector reto 12">
          <a:extLst>
            <a:ext uri="{FF2B5EF4-FFF2-40B4-BE49-F238E27FC236}">
              <a16:creationId xmlns:a16="http://schemas.microsoft.com/office/drawing/2014/main" id="{F86E45A3-2BC3-4905-A092-9D590B76E6C7}"/>
            </a:ext>
          </a:extLst>
        </xdr:cNvPr>
        <xdr:cNvCxnSpPr/>
      </xdr:nvCxnSpPr>
      <xdr:spPr>
        <a:xfrm>
          <a:off x="6167887" y="2544789"/>
          <a:ext cx="0" cy="923026"/>
        </a:xfrm>
        <a:prstGeom prst="line">
          <a:avLst/>
        </a:prstGeom>
        <a:ln w="38100">
          <a:solidFill>
            <a:srgbClr val="06E3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1</xdr:col>
      <xdr:colOff>2613025</xdr:colOff>
      <xdr:row>2</xdr:row>
      <xdr:rowOff>176495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2714625</xdr:colOff>
      <xdr:row>0</xdr:row>
      <xdr:rowOff>180975</xdr:rowOff>
    </xdr:from>
    <xdr:to>
      <xdr:col>1</xdr:col>
      <xdr:colOff>4000500</xdr:colOff>
      <xdr:row>2</xdr:row>
      <xdr:rowOff>76200</xdr:rowOff>
    </xdr:to>
    <xdr:sp macro="" textlink="">
      <xdr:nvSpPr>
        <xdr:cNvPr id="4" name="Retângulo de cantos arredondado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943225" y="1809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Return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2603500</xdr:colOff>
      <xdr:row>2</xdr:row>
      <xdr:rowOff>166970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Return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2603500</xdr:colOff>
      <xdr:row>2</xdr:row>
      <xdr:rowOff>166970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Return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2603500</xdr:colOff>
      <xdr:row>2</xdr:row>
      <xdr:rowOff>166970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Return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showGridLines="0" tabSelected="1" zoomScaleNormal="100" workbookViewId="0"/>
  </sheetViews>
  <sheetFormatPr defaultColWidth="0" defaultRowHeight="14.3" zeroHeight="1" x14ac:dyDescent="0.25"/>
  <cols>
    <col min="1" max="10" width="9.125" customWidth="1"/>
    <col min="11" max="12" width="0" hidden="1" customWidth="1"/>
    <col min="13" max="16384" width="9.1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spans="1:10" x14ac:dyDescent="0.25"/>
    <row r="34" spans="1:10" x14ac:dyDescent="0.25"/>
    <row r="35" spans="1:10" x14ac:dyDescent="0.25"/>
    <row r="36" spans="1:10" x14ac:dyDescent="0.25"/>
    <row r="37" spans="1:10" x14ac:dyDescent="0.25"/>
    <row r="38" spans="1:10" x14ac:dyDescent="0.25"/>
    <row r="39" spans="1:10" ht="18" customHeight="1" x14ac:dyDescent="0.25">
      <c r="A39" s="147" t="s">
        <v>164</v>
      </c>
      <c r="B39" s="147"/>
      <c r="C39" s="147"/>
      <c r="D39" s="147"/>
      <c r="E39" s="147"/>
      <c r="F39" s="147"/>
      <c r="G39" s="147"/>
      <c r="H39" s="147"/>
      <c r="I39" s="147"/>
      <c r="J39" s="147"/>
    </row>
    <row r="40" spans="1:10" ht="5.3" hidden="1" customHeight="1" x14ac:dyDescent="0.25"/>
  </sheetData>
  <mergeCells count="1">
    <mergeCell ref="A39:J3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Z121"/>
  <sheetViews>
    <sheetView showGridLines="0" zoomScale="85" zoomScaleNormal="85" workbookViewId="0">
      <pane xSplit="2" ySplit="6" topLeftCell="C7" activePane="bottomRight" state="frozen"/>
      <selection activeCell="A39" sqref="A39:J39"/>
      <selection pane="topRight" activeCell="A39" sqref="A39:J39"/>
      <selection pane="bottomLeft" activeCell="A39" sqref="A39:J39"/>
      <selection pane="bottomRight"/>
    </sheetView>
  </sheetViews>
  <sheetFormatPr defaultRowHeight="14.3" x14ac:dyDescent="0.25"/>
  <cols>
    <col min="1" max="1" width="3.375" customWidth="1"/>
    <col min="2" max="2" width="61.375" bestFit="1" customWidth="1"/>
    <col min="3" max="13" width="18" customWidth="1"/>
    <col min="14" max="14" width="18" style="84" customWidth="1"/>
    <col min="15" max="26" width="18" customWidth="1"/>
  </cols>
  <sheetData>
    <row r="4" spans="2:26" ht="14.95" customHeight="1" x14ac:dyDescent="0.25">
      <c r="B4" s="3"/>
      <c r="C4" s="149" t="s">
        <v>0</v>
      </c>
      <c r="D4" s="149"/>
      <c r="E4" s="149"/>
      <c r="F4" s="149"/>
      <c r="G4" s="150" t="s">
        <v>1</v>
      </c>
      <c r="H4" s="149"/>
      <c r="I4" s="149"/>
      <c r="J4" s="149"/>
      <c r="K4" s="150" t="s">
        <v>2</v>
      </c>
      <c r="L4" s="149"/>
      <c r="M4" s="149"/>
      <c r="N4" s="149"/>
      <c r="O4" s="150" t="s">
        <v>181</v>
      </c>
      <c r="P4" s="149"/>
      <c r="Q4" s="149"/>
      <c r="R4" s="149"/>
      <c r="S4" s="148">
        <v>2020</v>
      </c>
      <c r="T4" s="148"/>
      <c r="U4" s="148"/>
      <c r="V4" s="148"/>
      <c r="W4" s="148">
        <v>2021</v>
      </c>
      <c r="X4" s="148"/>
      <c r="Y4" s="148"/>
      <c r="Z4" s="148"/>
    </row>
    <row r="5" spans="2:26" ht="15.65" x14ac:dyDescent="0.25">
      <c r="B5" s="4" t="s">
        <v>165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8"/>
      <c r="T5" s="148"/>
      <c r="U5" s="148"/>
      <c r="V5" s="148"/>
      <c r="W5" s="148"/>
      <c r="X5" s="148"/>
      <c r="Y5" s="148"/>
      <c r="Z5" s="148"/>
    </row>
    <row r="6" spans="2:26" ht="15.65" x14ac:dyDescent="0.25">
      <c r="B6" s="4" t="s">
        <v>132</v>
      </c>
      <c r="C6" s="41">
        <v>42460</v>
      </c>
      <c r="D6" s="41">
        <v>42551</v>
      </c>
      <c r="E6" s="41">
        <v>42643</v>
      </c>
      <c r="F6" s="41">
        <v>42735</v>
      </c>
      <c r="G6" s="41">
        <v>42825</v>
      </c>
      <c r="H6" s="41">
        <v>42916</v>
      </c>
      <c r="I6" s="41">
        <v>43008</v>
      </c>
      <c r="J6" s="41">
        <v>43100</v>
      </c>
      <c r="K6" s="41">
        <v>43190</v>
      </c>
      <c r="L6" s="41">
        <v>43281</v>
      </c>
      <c r="M6" s="41">
        <v>43373</v>
      </c>
      <c r="N6" s="41">
        <v>43465</v>
      </c>
      <c r="O6" s="41">
        <v>43555</v>
      </c>
      <c r="P6" s="41">
        <v>43646</v>
      </c>
      <c r="Q6" s="41" t="s">
        <v>179</v>
      </c>
      <c r="R6" s="41">
        <v>43830</v>
      </c>
      <c r="S6" s="41">
        <v>43921</v>
      </c>
      <c r="T6" s="41">
        <v>44012</v>
      </c>
      <c r="U6" s="41">
        <v>44104</v>
      </c>
      <c r="V6" s="41">
        <v>44196</v>
      </c>
      <c r="W6" s="41">
        <v>44286</v>
      </c>
      <c r="X6" s="41">
        <v>44377</v>
      </c>
      <c r="Y6" s="41">
        <v>44469</v>
      </c>
      <c r="Z6" s="41">
        <v>44561</v>
      </c>
    </row>
    <row r="7" spans="2:26" ht="15.65" x14ac:dyDescent="0.25">
      <c r="B7" s="5" t="s">
        <v>3</v>
      </c>
    </row>
    <row r="8" spans="2:26" x14ac:dyDescent="0.25">
      <c r="B8" s="1" t="s">
        <v>4</v>
      </c>
    </row>
    <row r="9" spans="2:26" x14ac:dyDescent="0.25">
      <c r="B9" s="2" t="s">
        <v>5</v>
      </c>
      <c r="C9" s="7">
        <v>5779</v>
      </c>
      <c r="D9" s="7">
        <v>5359</v>
      </c>
      <c r="E9" s="7">
        <v>5008</v>
      </c>
      <c r="F9" s="7">
        <v>6946</v>
      </c>
      <c r="G9" s="7">
        <v>5818</v>
      </c>
      <c r="H9" s="7">
        <v>6561</v>
      </c>
      <c r="I9" s="7">
        <v>5788</v>
      </c>
      <c r="J9" s="7">
        <v>8960</v>
      </c>
      <c r="K9" s="7">
        <v>6718</v>
      </c>
      <c r="L9" s="7">
        <v>7053</v>
      </c>
      <c r="M9" s="7">
        <v>6754</v>
      </c>
      <c r="N9" s="83">
        <v>7742</v>
      </c>
      <c r="O9" s="7">
        <v>6921</v>
      </c>
      <c r="P9" s="7">
        <v>4944</v>
      </c>
      <c r="Q9" s="7">
        <v>6021</v>
      </c>
      <c r="R9" s="7">
        <v>6262</v>
      </c>
      <c r="S9" s="7">
        <v>6779</v>
      </c>
      <c r="T9" s="7">
        <v>9112</v>
      </c>
      <c r="U9" s="7">
        <v>10304</v>
      </c>
      <c r="V9" s="7">
        <v>9783</v>
      </c>
      <c r="W9" s="7">
        <v>11686</v>
      </c>
      <c r="X9" s="7">
        <v>10712</v>
      </c>
      <c r="Y9" s="7">
        <v>12905</v>
      </c>
      <c r="Z9" s="7">
        <v>13680</v>
      </c>
    </row>
    <row r="10" spans="2:26" x14ac:dyDescent="0.25">
      <c r="B10" s="2" t="s">
        <v>6</v>
      </c>
      <c r="C10" s="7">
        <v>3110</v>
      </c>
      <c r="D10" s="7">
        <v>2988</v>
      </c>
      <c r="E10" s="7">
        <v>3781</v>
      </c>
      <c r="F10" s="7">
        <v>3190</v>
      </c>
      <c r="G10" s="7">
        <v>3267</v>
      </c>
      <c r="H10" s="7">
        <v>3784</v>
      </c>
      <c r="I10" s="7">
        <v>3830</v>
      </c>
      <c r="J10" s="7">
        <v>3562</v>
      </c>
      <c r="K10" s="7">
        <v>3087</v>
      </c>
      <c r="L10" s="7">
        <v>2849</v>
      </c>
      <c r="M10" s="7">
        <v>3283</v>
      </c>
      <c r="N10" s="83">
        <v>3315</v>
      </c>
      <c r="O10" s="7">
        <v>3824</v>
      </c>
      <c r="P10" s="7">
        <v>4894</v>
      </c>
      <c r="Q10" s="7">
        <v>3972</v>
      </c>
      <c r="R10" s="7">
        <v>4444</v>
      </c>
      <c r="S10" s="7">
        <v>4968</v>
      </c>
      <c r="T10" s="7">
        <v>4988</v>
      </c>
      <c r="U10" s="7">
        <v>4753</v>
      </c>
      <c r="V10" s="7">
        <v>5678</v>
      </c>
      <c r="W10" s="7">
        <v>5017</v>
      </c>
      <c r="X10" s="7">
        <v>5125</v>
      </c>
      <c r="Y10" s="7">
        <v>4710</v>
      </c>
      <c r="Z10" s="7">
        <v>3132</v>
      </c>
    </row>
    <row r="11" spans="2:26" x14ac:dyDescent="0.25">
      <c r="B11" s="2" t="s">
        <v>7</v>
      </c>
      <c r="C11" s="7">
        <v>101</v>
      </c>
      <c r="D11" s="7">
        <v>170</v>
      </c>
      <c r="E11" s="7">
        <v>143</v>
      </c>
      <c r="F11" s="7">
        <v>136</v>
      </c>
      <c r="G11" s="7">
        <v>151</v>
      </c>
      <c r="H11" s="7">
        <v>125</v>
      </c>
      <c r="I11" s="7">
        <v>119</v>
      </c>
      <c r="J11" s="7">
        <v>52</v>
      </c>
      <c r="K11" s="7">
        <v>69</v>
      </c>
      <c r="L11" s="7">
        <v>106</v>
      </c>
      <c r="M11" s="7">
        <v>134</v>
      </c>
      <c r="N11" s="83">
        <v>216</v>
      </c>
      <c r="O11" s="7">
        <v>221</v>
      </c>
      <c r="P11" s="7">
        <v>131</v>
      </c>
      <c r="Q11" s="7">
        <v>99</v>
      </c>
      <c r="R11" s="7">
        <v>62</v>
      </c>
      <c r="S11" s="7">
        <v>287</v>
      </c>
      <c r="T11" s="7">
        <v>225</v>
      </c>
      <c r="U11" s="7">
        <v>162</v>
      </c>
      <c r="V11" s="7">
        <v>221</v>
      </c>
      <c r="W11" s="7">
        <v>76</v>
      </c>
      <c r="X11" s="7">
        <v>221</v>
      </c>
      <c r="Y11" s="7">
        <v>83</v>
      </c>
      <c r="Z11" s="7">
        <v>106</v>
      </c>
    </row>
    <row r="12" spans="2:26" x14ac:dyDescent="0.25">
      <c r="B12" s="2" t="s">
        <v>210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4704</v>
      </c>
    </row>
    <row r="13" spans="2:26" x14ac:dyDescent="0.25">
      <c r="B13" s="2" t="s">
        <v>8</v>
      </c>
      <c r="C13" s="7">
        <v>2353</v>
      </c>
      <c r="D13" s="7">
        <v>2374</v>
      </c>
      <c r="E13" s="7">
        <v>2488</v>
      </c>
      <c r="F13" s="7">
        <v>2001</v>
      </c>
      <c r="G13" s="7">
        <v>2211</v>
      </c>
      <c r="H13" s="7">
        <v>2507</v>
      </c>
      <c r="I13" s="7">
        <v>2761</v>
      </c>
      <c r="J13" s="7">
        <v>2421</v>
      </c>
      <c r="K13" s="7">
        <v>2895</v>
      </c>
      <c r="L13" s="7">
        <v>3188</v>
      </c>
      <c r="M13" s="7">
        <v>3306</v>
      </c>
      <c r="N13" s="83">
        <v>2546</v>
      </c>
      <c r="O13" s="7">
        <v>2668</v>
      </c>
      <c r="P13" s="7">
        <v>2975</v>
      </c>
      <c r="Q13" s="7">
        <v>2767</v>
      </c>
      <c r="R13" s="7">
        <v>2196</v>
      </c>
      <c r="S13" s="7">
        <v>2661</v>
      </c>
      <c r="T13" s="7">
        <v>3014</v>
      </c>
      <c r="U13" s="7">
        <v>3455</v>
      </c>
      <c r="V13" s="7">
        <v>3209</v>
      </c>
      <c r="W13" s="7">
        <v>3408</v>
      </c>
      <c r="X13" s="7">
        <v>3924</v>
      </c>
      <c r="Y13" s="7">
        <v>4157</v>
      </c>
      <c r="Z13" s="7">
        <v>3679</v>
      </c>
    </row>
    <row r="14" spans="2:26" x14ac:dyDescent="0.25">
      <c r="B14" s="2" t="s">
        <v>9</v>
      </c>
      <c r="C14" s="7">
        <v>3996</v>
      </c>
      <c r="D14" s="7">
        <v>3666</v>
      </c>
      <c r="E14" s="7">
        <v>3739</v>
      </c>
      <c r="F14" s="7">
        <v>3381</v>
      </c>
      <c r="G14" s="7">
        <v>3397</v>
      </c>
      <c r="H14" s="7">
        <v>3328</v>
      </c>
      <c r="I14" s="7">
        <v>3270</v>
      </c>
      <c r="J14" s="7">
        <v>3526</v>
      </c>
      <c r="K14" s="7">
        <v>3754</v>
      </c>
      <c r="L14" s="7">
        <v>4046</v>
      </c>
      <c r="M14" s="7">
        <v>4108</v>
      </c>
      <c r="N14" s="83">
        <v>3814</v>
      </c>
      <c r="O14" s="7">
        <v>4015</v>
      </c>
      <c r="P14" s="7">
        <v>4113</v>
      </c>
      <c r="Q14" s="7">
        <v>4129</v>
      </c>
      <c r="R14" s="7">
        <v>4129</v>
      </c>
      <c r="S14" s="7">
        <v>4823</v>
      </c>
      <c r="T14" s="7">
        <v>4729</v>
      </c>
      <c r="U14" s="7">
        <v>4548</v>
      </c>
      <c r="V14" s="7">
        <v>4724</v>
      </c>
      <c r="W14" s="7">
        <v>5699</v>
      </c>
      <c r="X14" s="7">
        <v>6071</v>
      </c>
      <c r="Y14" s="7">
        <v>6801</v>
      </c>
      <c r="Z14" s="7">
        <v>7167</v>
      </c>
    </row>
    <row r="15" spans="2:26" x14ac:dyDescent="0.25">
      <c r="B15" s="2" t="s">
        <v>10</v>
      </c>
      <c r="C15" s="7">
        <v>1469</v>
      </c>
      <c r="D15" s="7">
        <v>1430</v>
      </c>
      <c r="E15" s="7">
        <v>1374</v>
      </c>
      <c r="F15" s="7">
        <v>1527</v>
      </c>
      <c r="G15" s="7">
        <v>1275</v>
      </c>
      <c r="H15" s="7">
        <v>1234</v>
      </c>
      <c r="I15" s="7">
        <v>1316</v>
      </c>
      <c r="J15" s="7">
        <v>1317</v>
      </c>
      <c r="K15" s="7">
        <v>1275</v>
      </c>
      <c r="L15" s="7">
        <v>1447</v>
      </c>
      <c r="M15" s="7">
        <v>1618</v>
      </c>
      <c r="N15" s="83">
        <v>1473</v>
      </c>
      <c r="O15" s="7">
        <v>1567</v>
      </c>
      <c r="P15" s="7">
        <v>1803</v>
      </c>
      <c r="Q15" s="7">
        <v>1821</v>
      </c>
      <c r="R15" s="7">
        <v>1968</v>
      </c>
      <c r="S15" s="7">
        <v>2171</v>
      </c>
      <c r="T15" s="7">
        <v>2043</v>
      </c>
      <c r="U15" s="7">
        <v>2154</v>
      </c>
      <c r="V15" s="7">
        <v>2033</v>
      </c>
      <c r="W15" s="7">
        <v>2217</v>
      </c>
      <c r="X15" s="7">
        <v>2107</v>
      </c>
      <c r="Y15" s="7">
        <v>2651</v>
      </c>
      <c r="Z15" s="7">
        <v>2709</v>
      </c>
    </row>
    <row r="16" spans="2:26" x14ac:dyDescent="0.25">
      <c r="B16" s="2" t="s">
        <v>11</v>
      </c>
      <c r="C16" s="7">
        <v>123</v>
      </c>
      <c r="D16" s="7">
        <v>9</v>
      </c>
      <c r="E16" s="7">
        <v>4</v>
      </c>
      <c r="F16" s="7">
        <v>180</v>
      </c>
      <c r="G16" s="7">
        <v>179</v>
      </c>
      <c r="H16" s="7">
        <v>26</v>
      </c>
      <c r="I16" s="7">
        <v>17</v>
      </c>
      <c r="J16" s="7">
        <v>148</v>
      </c>
      <c r="K16" s="7">
        <v>137</v>
      </c>
      <c r="L16" s="7">
        <v>1</v>
      </c>
      <c r="M16" s="7">
        <v>1</v>
      </c>
      <c r="N16" s="83">
        <v>14</v>
      </c>
      <c r="O16" s="7">
        <v>14</v>
      </c>
      <c r="P16" s="7">
        <v>200</v>
      </c>
      <c r="Q16" s="7">
        <v>200</v>
      </c>
      <c r="R16" s="7">
        <v>81</v>
      </c>
      <c r="S16" s="7">
        <v>94</v>
      </c>
      <c r="T16" s="7">
        <v>123</v>
      </c>
      <c r="U16" s="7">
        <v>116</v>
      </c>
      <c r="V16" s="7">
        <v>176</v>
      </c>
      <c r="W16" s="7">
        <v>154</v>
      </c>
      <c r="X16" s="7">
        <v>0</v>
      </c>
      <c r="Y16" s="7">
        <v>0</v>
      </c>
      <c r="Z16" s="7">
        <v>305</v>
      </c>
    </row>
    <row r="17" spans="2:26" x14ac:dyDescent="0.25">
      <c r="B17" s="2" t="s">
        <v>205</v>
      </c>
      <c r="C17" s="7">
        <v>313</v>
      </c>
      <c r="D17" s="7">
        <v>305</v>
      </c>
      <c r="E17" s="7">
        <v>312</v>
      </c>
      <c r="F17" s="7">
        <v>317</v>
      </c>
      <c r="G17" s="7">
        <v>251</v>
      </c>
      <c r="H17" s="7">
        <v>237</v>
      </c>
      <c r="I17" s="7">
        <v>260</v>
      </c>
      <c r="J17" s="7">
        <v>210</v>
      </c>
      <c r="K17" s="7">
        <v>158</v>
      </c>
      <c r="L17" s="7">
        <v>159</v>
      </c>
      <c r="M17" s="7">
        <v>184</v>
      </c>
      <c r="N17" s="83">
        <v>202</v>
      </c>
      <c r="O17" s="7">
        <v>102</v>
      </c>
      <c r="P17" s="7">
        <v>46</v>
      </c>
      <c r="Q17" s="7">
        <v>15</v>
      </c>
      <c r="R17" s="7">
        <v>0</v>
      </c>
      <c r="S17" s="7">
        <v>2</v>
      </c>
      <c r="T17" s="7">
        <v>31</v>
      </c>
      <c r="U17" s="7">
        <v>61</v>
      </c>
      <c r="V17" s="7">
        <v>49</v>
      </c>
      <c r="W17" s="7">
        <v>23</v>
      </c>
      <c r="X17" s="7">
        <v>0</v>
      </c>
      <c r="Y17" s="7">
        <v>50</v>
      </c>
      <c r="Z17" s="7">
        <v>845</v>
      </c>
    </row>
    <row r="18" spans="2:26" x14ac:dyDescent="0.25">
      <c r="B18" s="2" t="s">
        <v>12</v>
      </c>
      <c r="C18" s="8">
        <v>727</v>
      </c>
      <c r="D18" s="8">
        <v>551</v>
      </c>
      <c r="E18" s="8">
        <v>489</v>
      </c>
      <c r="F18" s="8">
        <v>580</v>
      </c>
      <c r="G18" s="8">
        <v>552</v>
      </c>
      <c r="H18" s="8">
        <v>507</v>
      </c>
      <c r="I18" s="8">
        <v>494</v>
      </c>
      <c r="J18" s="8">
        <v>784</v>
      </c>
      <c r="K18" s="8">
        <v>745</v>
      </c>
      <c r="L18" s="8">
        <v>534</v>
      </c>
      <c r="M18" s="8">
        <v>667</v>
      </c>
      <c r="N18" s="85">
        <v>564</v>
      </c>
      <c r="O18" s="8">
        <v>512</v>
      </c>
      <c r="P18" s="8">
        <v>605</v>
      </c>
      <c r="Q18" s="8">
        <v>638</v>
      </c>
      <c r="R18" s="8">
        <v>621</v>
      </c>
      <c r="S18" s="8">
        <v>542</v>
      </c>
      <c r="T18" s="8">
        <v>531</v>
      </c>
      <c r="U18" s="8">
        <v>584</v>
      </c>
      <c r="V18" s="8">
        <v>538</v>
      </c>
      <c r="W18" s="8">
        <v>555</v>
      </c>
      <c r="X18" s="8">
        <v>595</v>
      </c>
      <c r="Y18" s="8">
        <v>930</v>
      </c>
      <c r="Z18" s="8">
        <v>944</v>
      </c>
    </row>
    <row r="19" spans="2:26" x14ac:dyDescent="0.25">
      <c r="B19" s="2"/>
      <c r="C19" s="9">
        <f t="shared" ref="C19:O19" si="0">SUM(C9:C18)</f>
        <v>17971</v>
      </c>
      <c r="D19" s="9">
        <f t="shared" si="0"/>
        <v>16852</v>
      </c>
      <c r="E19" s="9">
        <f t="shared" si="0"/>
        <v>17338</v>
      </c>
      <c r="F19" s="9">
        <f t="shared" si="0"/>
        <v>18258</v>
      </c>
      <c r="G19" s="9">
        <f t="shared" si="0"/>
        <v>17101</v>
      </c>
      <c r="H19" s="9">
        <f t="shared" si="0"/>
        <v>18309</v>
      </c>
      <c r="I19" s="9">
        <f t="shared" si="0"/>
        <v>17855</v>
      </c>
      <c r="J19" s="9">
        <f t="shared" si="0"/>
        <v>20980</v>
      </c>
      <c r="K19" s="9">
        <f t="shared" si="0"/>
        <v>18838</v>
      </c>
      <c r="L19" s="9">
        <f t="shared" si="0"/>
        <v>19383</v>
      </c>
      <c r="M19" s="9">
        <f t="shared" si="0"/>
        <v>20055</v>
      </c>
      <c r="N19" s="86">
        <f t="shared" si="0"/>
        <v>19886</v>
      </c>
      <c r="O19" s="9">
        <f t="shared" si="0"/>
        <v>19844</v>
      </c>
      <c r="P19" s="9">
        <f t="shared" ref="P19:T19" si="1">SUM(P9:P18)</f>
        <v>19711</v>
      </c>
      <c r="Q19" s="9">
        <f t="shared" si="1"/>
        <v>19662</v>
      </c>
      <c r="R19" s="9">
        <v>19763</v>
      </c>
      <c r="S19" s="9">
        <f t="shared" si="1"/>
        <v>22327</v>
      </c>
      <c r="T19" s="9">
        <f t="shared" si="1"/>
        <v>24796</v>
      </c>
      <c r="U19" s="9">
        <f t="shared" ref="U19" si="2">SUM(U9:U18)</f>
        <v>26137</v>
      </c>
      <c r="V19" s="9">
        <f>SUM(V9:V18)</f>
        <v>26411</v>
      </c>
      <c r="W19" s="9">
        <f>SUM(W9:W18)</f>
        <v>28835</v>
      </c>
      <c r="X19" s="7">
        <f t="shared" ref="X19:Y19" si="3">SUM(X9:X18)</f>
        <v>28755</v>
      </c>
      <c r="Y19" s="7">
        <f t="shared" si="3"/>
        <v>32287</v>
      </c>
      <c r="Z19" s="7">
        <f t="shared" ref="Z19" si="4">SUM(Z9:Z18)</f>
        <v>37271</v>
      </c>
    </row>
    <row r="20" spans="2:26" x14ac:dyDescent="0.25">
      <c r="B20" s="2" t="s">
        <v>13</v>
      </c>
      <c r="C20" s="8">
        <v>34</v>
      </c>
      <c r="D20" s="8">
        <v>35</v>
      </c>
      <c r="E20" s="8">
        <v>46</v>
      </c>
      <c r="F20" s="7">
        <v>2125</v>
      </c>
      <c r="G20" s="7">
        <v>2125</v>
      </c>
      <c r="H20" s="7">
        <v>2125</v>
      </c>
      <c r="I20" s="7">
        <v>2984</v>
      </c>
      <c r="J20" s="7">
        <v>2199</v>
      </c>
      <c r="K20" s="7">
        <v>6499</v>
      </c>
      <c r="L20" s="7">
        <v>4245</v>
      </c>
      <c r="M20" s="7">
        <v>4358</v>
      </c>
      <c r="N20" s="83">
        <v>4527</v>
      </c>
      <c r="O20" s="7">
        <v>232</v>
      </c>
      <c r="P20" s="7">
        <v>0</v>
      </c>
      <c r="Q20" s="7">
        <v>0</v>
      </c>
      <c r="R20" s="7">
        <v>0</v>
      </c>
      <c r="S20" s="7"/>
      <c r="T20" s="7">
        <v>9</v>
      </c>
      <c r="U20" s="7">
        <v>17</v>
      </c>
      <c r="V20" s="7">
        <v>25</v>
      </c>
      <c r="W20" s="7">
        <v>3</v>
      </c>
      <c r="X20" s="7">
        <v>3</v>
      </c>
      <c r="Y20" s="7">
        <v>39</v>
      </c>
      <c r="Z20" s="7">
        <v>1281</v>
      </c>
    </row>
    <row r="21" spans="2:26" s="16" customFormat="1" x14ac:dyDescent="0.25">
      <c r="B21" s="1"/>
      <c r="C21" s="14">
        <f t="shared" ref="C21:O21" si="5">SUM(C19:C20)</f>
        <v>18005</v>
      </c>
      <c r="D21" s="14">
        <f t="shared" si="5"/>
        <v>16887</v>
      </c>
      <c r="E21" s="14">
        <f t="shared" si="5"/>
        <v>17384</v>
      </c>
      <c r="F21" s="14">
        <f t="shared" si="5"/>
        <v>20383</v>
      </c>
      <c r="G21" s="14">
        <f t="shared" si="5"/>
        <v>19226</v>
      </c>
      <c r="H21" s="14">
        <f t="shared" si="5"/>
        <v>20434</v>
      </c>
      <c r="I21" s="14">
        <f t="shared" si="5"/>
        <v>20839</v>
      </c>
      <c r="J21" s="14">
        <f t="shared" si="5"/>
        <v>23179</v>
      </c>
      <c r="K21" s="14">
        <f t="shared" si="5"/>
        <v>25337</v>
      </c>
      <c r="L21" s="14">
        <f t="shared" si="5"/>
        <v>23628</v>
      </c>
      <c r="M21" s="14">
        <f t="shared" si="5"/>
        <v>24413</v>
      </c>
      <c r="N21" s="87">
        <f t="shared" si="5"/>
        <v>24413</v>
      </c>
      <c r="O21" s="14">
        <f t="shared" si="5"/>
        <v>20076</v>
      </c>
      <c r="P21" s="14">
        <f t="shared" ref="P21:T21" si="6">SUM(P19:P20)</f>
        <v>19711</v>
      </c>
      <c r="Q21" s="14">
        <f t="shared" si="6"/>
        <v>19662</v>
      </c>
      <c r="R21" s="14">
        <v>19763</v>
      </c>
      <c r="S21" s="14">
        <f t="shared" si="6"/>
        <v>22327</v>
      </c>
      <c r="T21" s="14">
        <f t="shared" si="6"/>
        <v>24805</v>
      </c>
      <c r="U21" s="14">
        <f t="shared" ref="U21:V21" si="7">SUM(U19:U20)</f>
        <v>26154</v>
      </c>
      <c r="V21" s="14">
        <f t="shared" si="7"/>
        <v>26436</v>
      </c>
      <c r="W21" s="14">
        <f t="shared" ref="W21" si="8">SUM(W19:W20)</f>
        <v>28838</v>
      </c>
      <c r="X21" s="14">
        <f t="shared" ref="X21:Y21" si="9">SUM(X19:X20)</f>
        <v>28758</v>
      </c>
      <c r="Y21" s="14">
        <f t="shared" si="9"/>
        <v>32326</v>
      </c>
      <c r="Z21" s="14">
        <f t="shared" ref="Z21" si="10">SUM(Z19:Z20)</f>
        <v>38552</v>
      </c>
    </row>
    <row r="22" spans="2:26" x14ac:dyDescent="0.25">
      <c r="B22" s="1" t="s">
        <v>14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3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2:26" x14ac:dyDescent="0.25">
      <c r="B23" s="2" t="s">
        <v>15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</row>
    <row r="24" spans="2:26" x14ac:dyDescent="0.25">
      <c r="B24" s="2" t="s">
        <v>6</v>
      </c>
      <c r="C24" s="7">
        <v>37</v>
      </c>
      <c r="D24" s="7">
        <v>38</v>
      </c>
      <c r="E24" s="7">
        <v>38</v>
      </c>
      <c r="F24" s="7">
        <v>39</v>
      </c>
      <c r="G24" s="7">
        <v>40</v>
      </c>
      <c r="H24" s="7">
        <v>40</v>
      </c>
      <c r="I24" s="7">
        <v>18</v>
      </c>
      <c r="J24" s="7">
        <v>25</v>
      </c>
      <c r="K24" s="7">
        <v>19</v>
      </c>
      <c r="L24" s="7">
        <v>22</v>
      </c>
      <c r="M24" s="7">
        <v>22</v>
      </c>
      <c r="N24" s="83">
        <v>23</v>
      </c>
      <c r="O24" s="7">
        <v>23</v>
      </c>
      <c r="P24" s="7">
        <v>23</v>
      </c>
      <c r="Q24" s="7">
        <v>23</v>
      </c>
      <c r="R24" s="7">
        <v>23</v>
      </c>
      <c r="S24" s="7">
        <v>20</v>
      </c>
      <c r="T24" s="7">
        <v>20</v>
      </c>
      <c r="U24" s="7">
        <v>20</v>
      </c>
      <c r="V24" s="7">
        <v>20</v>
      </c>
      <c r="W24" s="7">
        <v>20</v>
      </c>
      <c r="X24" s="7">
        <v>10</v>
      </c>
      <c r="Y24" s="7">
        <v>750</v>
      </c>
      <c r="Z24" s="7">
        <v>0</v>
      </c>
    </row>
    <row r="25" spans="2:26" x14ac:dyDescent="0.25">
      <c r="B25" s="33" t="s">
        <v>125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29</v>
      </c>
      <c r="L25" s="7">
        <v>0</v>
      </c>
      <c r="M25" s="7">
        <v>0</v>
      </c>
      <c r="N25" s="83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</row>
    <row r="26" spans="2:26" x14ac:dyDescent="0.25">
      <c r="B26" s="33" t="s">
        <v>209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83">
        <v>0</v>
      </c>
      <c r="O26" s="7">
        <v>3500</v>
      </c>
      <c r="P26" s="7">
        <v>2470</v>
      </c>
      <c r="Q26" s="7">
        <v>2530</v>
      </c>
      <c r="R26" s="7">
        <v>2749</v>
      </c>
      <c r="S26" s="7">
        <v>2912</v>
      </c>
      <c r="T26" s="7">
        <v>2965</v>
      </c>
      <c r="U26" s="7">
        <v>3375</v>
      </c>
      <c r="V26" s="7">
        <v>2590</v>
      </c>
      <c r="W26" s="7">
        <v>1774</v>
      </c>
      <c r="X26" s="7">
        <v>1658</v>
      </c>
      <c r="Y26" s="7">
        <v>1470</v>
      </c>
      <c r="Z26" s="7">
        <v>2801</v>
      </c>
    </row>
    <row r="27" spans="2:26" x14ac:dyDescent="0.25">
      <c r="B27" s="2" t="s">
        <v>7</v>
      </c>
      <c r="C27" s="7">
        <v>280</v>
      </c>
      <c r="D27" s="7">
        <v>426</v>
      </c>
      <c r="E27" s="7">
        <v>429</v>
      </c>
      <c r="F27" s="7">
        <v>232</v>
      </c>
      <c r="G27" s="7">
        <v>136</v>
      </c>
      <c r="H27" s="7">
        <v>215</v>
      </c>
      <c r="I27" s="7">
        <v>118</v>
      </c>
      <c r="J27" s="7">
        <v>138</v>
      </c>
      <c r="K27" s="7">
        <v>149</v>
      </c>
      <c r="L27" s="7">
        <v>302</v>
      </c>
      <c r="M27" s="7">
        <v>380</v>
      </c>
      <c r="N27" s="83">
        <v>256</v>
      </c>
      <c r="O27" s="7">
        <v>162</v>
      </c>
      <c r="P27" s="7">
        <v>534</v>
      </c>
      <c r="Q27" s="7">
        <v>612</v>
      </c>
      <c r="R27" s="7">
        <v>337</v>
      </c>
      <c r="S27" s="7">
        <v>1496</v>
      </c>
      <c r="T27" s="7">
        <v>1359</v>
      </c>
      <c r="U27" s="7">
        <v>1224</v>
      </c>
      <c r="V27" s="7">
        <v>1945</v>
      </c>
      <c r="W27" s="7">
        <v>835</v>
      </c>
      <c r="X27" s="7">
        <v>775</v>
      </c>
      <c r="Y27" s="7">
        <v>996</v>
      </c>
      <c r="Z27" s="7">
        <v>847</v>
      </c>
    </row>
    <row r="28" spans="2:26" x14ac:dyDescent="0.25">
      <c r="B28" s="2" t="s">
        <v>210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764</v>
      </c>
      <c r="M28" s="7">
        <v>759</v>
      </c>
      <c r="N28" s="83">
        <v>744</v>
      </c>
      <c r="O28" s="7">
        <v>777</v>
      </c>
      <c r="P28" s="7">
        <v>744</v>
      </c>
      <c r="Q28" s="7">
        <v>764</v>
      </c>
      <c r="R28" s="7">
        <v>655</v>
      </c>
      <c r="S28" s="7">
        <v>452</v>
      </c>
      <c r="T28" s="7">
        <v>370</v>
      </c>
      <c r="U28" s="7">
        <v>248</v>
      </c>
      <c r="V28" s="7">
        <v>252</v>
      </c>
      <c r="W28" s="7">
        <v>595</v>
      </c>
      <c r="X28" s="7">
        <v>810</v>
      </c>
      <c r="Y28" s="7">
        <v>911</v>
      </c>
      <c r="Z28" s="7">
        <v>0</v>
      </c>
    </row>
    <row r="29" spans="2:26" x14ac:dyDescent="0.25">
      <c r="B29" s="2" t="s">
        <v>10</v>
      </c>
      <c r="C29" s="7">
        <v>1775</v>
      </c>
      <c r="D29" s="7">
        <v>1711</v>
      </c>
      <c r="E29" s="7">
        <v>1732</v>
      </c>
      <c r="F29" s="7">
        <v>1586</v>
      </c>
      <c r="G29" s="7">
        <v>1799</v>
      </c>
      <c r="H29" s="7">
        <v>1771</v>
      </c>
      <c r="I29" s="7">
        <v>1666</v>
      </c>
      <c r="J29" s="7">
        <v>1784</v>
      </c>
      <c r="K29" s="7">
        <v>1746</v>
      </c>
      <c r="L29" s="7">
        <v>1694</v>
      </c>
      <c r="M29" s="7">
        <v>1750</v>
      </c>
      <c r="N29" s="83">
        <v>2731</v>
      </c>
      <c r="O29" s="7">
        <v>3284</v>
      </c>
      <c r="P29" s="7">
        <v>3366</v>
      </c>
      <c r="Q29" s="7">
        <v>3210</v>
      </c>
      <c r="R29" s="7">
        <v>3477</v>
      </c>
      <c r="S29" s="7">
        <v>3368</v>
      </c>
      <c r="T29" s="7">
        <v>3649</v>
      </c>
      <c r="U29" s="7">
        <v>3334</v>
      </c>
      <c r="V29" s="7">
        <v>2966</v>
      </c>
      <c r="W29" s="7">
        <v>2813</v>
      </c>
      <c r="X29" s="7">
        <v>3191</v>
      </c>
      <c r="Y29" s="7">
        <v>2116</v>
      </c>
      <c r="Z29" s="7">
        <v>2033</v>
      </c>
    </row>
    <row r="30" spans="2:26" x14ac:dyDescent="0.25">
      <c r="B30" s="2" t="s">
        <v>18</v>
      </c>
      <c r="C30" s="7">
        <v>1076</v>
      </c>
      <c r="D30" s="7">
        <v>1121</v>
      </c>
      <c r="E30" s="7">
        <v>1081</v>
      </c>
      <c r="F30" s="7">
        <v>535</v>
      </c>
      <c r="G30" s="7">
        <v>524</v>
      </c>
      <c r="H30" s="7">
        <v>194</v>
      </c>
      <c r="I30" s="7">
        <v>129</v>
      </c>
      <c r="J30" s="7">
        <v>143</v>
      </c>
      <c r="K30" s="7">
        <v>225</v>
      </c>
      <c r="L30" s="7">
        <v>319</v>
      </c>
      <c r="M30" s="7">
        <v>311</v>
      </c>
      <c r="N30" s="83">
        <v>271</v>
      </c>
      <c r="O30" s="7">
        <v>268</v>
      </c>
      <c r="P30" s="7">
        <v>288</v>
      </c>
      <c r="Q30" s="7">
        <v>379</v>
      </c>
      <c r="R30" s="7">
        <v>229</v>
      </c>
      <c r="S30" s="7">
        <v>247</v>
      </c>
      <c r="T30" s="7">
        <v>255</v>
      </c>
      <c r="U30" s="7">
        <v>220</v>
      </c>
      <c r="V30" s="7">
        <v>196</v>
      </c>
      <c r="W30" s="7">
        <v>212</v>
      </c>
      <c r="X30" s="7">
        <v>179</v>
      </c>
      <c r="Y30" s="7">
        <v>230</v>
      </c>
      <c r="Z30" s="7">
        <v>225</v>
      </c>
    </row>
    <row r="31" spans="2:26" x14ac:dyDescent="0.25">
      <c r="B31" s="2" t="s">
        <v>17</v>
      </c>
      <c r="C31" s="7">
        <v>3665</v>
      </c>
      <c r="D31" s="7">
        <v>3201</v>
      </c>
      <c r="E31" s="7">
        <v>3370</v>
      </c>
      <c r="F31" s="7">
        <v>4055</v>
      </c>
      <c r="G31" s="7">
        <v>3925</v>
      </c>
      <c r="H31" s="7">
        <v>4196</v>
      </c>
      <c r="I31" s="7">
        <v>4104</v>
      </c>
      <c r="J31" s="7">
        <v>4079</v>
      </c>
      <c r="K31" s="7">
        <v>4012</v>
      </c>
      <c r="L31" s="7">
        <v>4614</v>
      </c>
      <c r="M31" s="7">
        <v>4775</v>
      </c>
      <c r="N31" s="83">
        <v>4079</v>
      </c>
      <c r="O31" s="7">
        <v>2907</v>
      </c>
      <c r="P31" s="7">
        <v>2886</v>
      </c>
      <c r="Q31" s="7">
        <v>3181</v>
      </c>
      <c r="R31" s="7">
        <v>3341</v>
      </c>
      <c r="S31" s="7">
        <v>4109</v>
      </c>
      <c r="T31" s="7">
        <v>4276</v>
      </c>
      <c r="U31" s="7">
        <v>4085</v>
      </c>
      <c r="V31" s="7">
        <v>2731</v>
      </c>
      <c r="W31" s="7">
        <v>2921</v>
      </c>
      <c r="X31" s="7">
        <v>3000</v>
      </c>
      <c r="Y31" s="7">
        <v>3111</v>
      </c>
      <c r="Z31" s="7">
        <v>2696</v>
      </c>
    </row>
    <row r="32" spans="2:26" x14ac:dyDescent="0.25">
      <c r="B32" s="2" t="s">
        <v>16</v>
      </c>
      <c r="C32" s="7">
        <v>410</v>
      </c>
      <c r="D32" s="7">
        <v>434</v>
      </c>
      <c r="E32" s="7">
        <v>442</v>
      </c>
      <c r="F32" s="7">
        <v>420</v>
      </c>
      <c r="G32" s="7">
        <v>341</v>
      </c>
      <c r="H32" s="7">
        <v>805</v>
      </c>
      <c r="I32" s="7">
        <v>825</v>
      </c>
      <c r="J32" s="7">
        <v>765</v>
      </c>
      <c r="K32" s="7">
        <v>882</v>
      </c>
      <c r="L32" s="7">
        <v>853</v>
      </c>
      <c r="M32" s="7">
        <v>862</v>
      </c>
      <c r="N32" s="83">
        <v>755</v>
      </c>
      <c r="O32" s="7">
        <v>387</v>
      </c>
      <c r="P32" s="7">
        <v>352</v>
      </c>
      <c r="Q32" s="7">
        <v>363</v>
      </c>
      <c r="R32" s="7">
        <v>345</v>
      </c>
      <c r="S32" s="7">
        <v>323</v>
      </c>
      <c r="T32" s="7">
        <v>231</v>
      </c>
      <c r="U32" s="7">
        <v>236</v>
      </c>
      <c r="V32" s="7">
        <v>193</v>
      </c>
      <c r="W32" s="7">
        <v>198</v>
      </c>
      <c r="X32" s="7">
        <v>197</v>
      </c>
      <c r="Y32" s="7">
        <v>209</v>
      </c>
      <c r="Z32" s="7">
        <v>214</v>
      </c>
    </row>
    <row r="33" spans="2:26" x14ac:dyDescent="0.25">
      <c r="B33" s="2" t="s">
        <v>205</v>
      </c>
      <c r="C33" s="7">
        <v>578</v>
      </c>
      <c r="D33" s="7">
        <v>579</v>
      </c>
      <c r="E33" s="7">
        <v>435</v>
      </c>
      <c r="F33" s="7">
        <v>371</v>
      </c>
      <c r="G33" s="7">
        <v>220</v>
      </c>
      <c r="H33" s="7">
        <v>155</v>
      </c>
      <c r="I33" s="7">
        <v>127</v>
      </c>
      <c r="J33" s="7">
        <v>154</v>
      </c>
      <c r="K33" s="7">
        <v>100</v>
      </c>
      <c r="L33" s="7">
        <v>72</v>
      </c>
      <c r="M33" s="7">
        <v>36</v>
      </c>
      <c r="N33" s="83">
        <v>0</v>
      </c>
      <c r="O33" s="7">
        <v>0</v>
      </c>
      <c r="P33" s="7">
        <v>0</v>
      </c>
      <c r="Q33" s="7">
        <v>17</v>
      </c>
      <c r="R33" s="7">
        <v>29</v>
      </c>
      <c r="S33" s="7">
        <v>37</v>
      </c>
      <c r="T33" s="7">
        <v>17</v>
      </c>
      <c r="U33" s="7">
        <v>63</v>
      </c>
      <c r="V33" s="7">
        <v>9</v>
      </c>
      <c r="W33" s="7">
        <v>9</v>
      </c>
      <c r="X33" s="7">
        <v>21</v>
      </c>
      <c r="Y33" s="7">
        <v>3</v>
      </c>
      <c r="Z33" s="7">
        <v>2962</v>
      </c>
    </row>
    <row r="34" spans="2:26" x14ac:dyDescent="0.25">
      <c r="B34" s="2" t="s">
        <v>189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140</v>
      </c>
      <c r="S34" s="7"/>
      <c r="T34" s="7">
        <v>336</v>
      </c>
      <c r="U34" s="7">
        <v>400</v>
      </c>
      <c r="V34" s="7">
        <v>149</v>
      </c>
      <c r="W34" s="7">
        <v>276</v>
      </c>
      <c r="X34" s="7">
        <v>251</v>
      </c>
      <c r="Y34" s="7">
        <v>463</v>
      </c>
      <c r="Z34" s="7">
        <v>211</v>
      </c>
    </row>
    <row r="35" spans="2:26" x14ac:dyDescent="0.25">
      <c r="B35" s="2" t="s">
        <v>12</v>
      </c>
      <c r="C35" s="8">
        <v>648</v>
      </c>
      <c r="D35" s="8">
        <v>748</v>
      </c>
      <c r="E35" s="8">
        <v>784</v>
      </c>
      <c r="F35" s="8">
        <v>858</v>
      </c>
      <c r="G35" s="8">
        <v>697</v>
      </c>
      <c r="H35" s="8">
        <v>883</v>
      </c>
      <c r="I35" s="8">
        <v>734</v>
      </c>
      <c r="J35" s="8">
        <v>667</v>
      </c>
      <c r="K35" s="8">
        <v>738</v>
      </c>
      <c r="L35" s="8">
        <v>746</v>
      </c>
      <c r="M35" s="8">
        <v>671</v>
      </c>
      <c r="N35" s="85">
        <v>685</v>
      </c>
      <c r="O35" s="8">
        <v>799</v>
      </c>
      <c r="P35" s="8">
        <v>792</v>
      </c>
      <c r="Q35" s="8">
        <v>842</v>
      </c>
      <c r="R35" s="8">
        <v>586</v>
      </c>
      <c r="S35" s="8">
        <v>970</v>
      </c>
      <c r="T35" s="8">
        <v>737</v>
      </c>
      <c r="U35" s="8">
        <v>868</v>
      </c>
      <c r="V35" s="8">
        <v>701</v>
      </c>
      <c r="W35" s="8">
        <v>771</v>
      </c>
      <c r="X35" s="8">
        <v>549</v>
      </c>
      <c r="Y35" s="8">
        <v>556</v>
      </c>
      <c r="Z35" s="8">
        <v>705</v>
      </c>
    </row>
    <row r="36" spans="2:26" s="16" customFormat="1" x14ac:dyDescent="0.25">
      <c r="B36" s="1"/>
      <c r="C36" s="13">
        <f t="shared" ref="C36:O36" si="11">SUM(C24:C35)</f>
        <v>8469</v>
      </c>
      <c r="D36" s="13">
        <f t="shared" si="11"/>
        <v>8258</v>
      </c>
      <c r="E36" s="13">
        <f t="shared" si="11"/>
        <v>8311</v>
      </c>
      <c r="F36" s="13">
        <f t="shared" si="11"/>
        <v>8096</v>
      </c>
      <c r="G36" s="13">
        <f t="shared" si="11"/>
        <v>7682</v>
      </c>
      <c r="H36" s="13">
        <f t="shared" si="11"/>
        <v>8259</v>
      </c>
      <c r="I36" s="13">
        <f t="shared" si="11"/>
        <v>7721</v>
      </c>
      <c r="J36" s="13">
        <f t="shared" si="11"/>
        <v>7755</v>
      </c>
      <c r="K36" s="13">
        <f t="shared" si="11"/>
        <v>7900</v>
      </c>
      <c r="L36" s="13">
        <f t="shared" si="11"/>
        <v>9386</v>
      </c>
      <c r="M36" s="13">
        <f t="shared" si="11"/>
        <v>9566</v>
      </c>
      <c r="N36" s="88">
        <f t="shared" si="11"/>
        <v>9544</v>
      </c>
      <c r="O36" s="13">
        <f t="shared" si="11"/>
        <v>12107</v>
      </c>
      <c r="P36" s="13">
        <f t="shared" ref="P36:T36" si="12">SUM(P24:P35)</f>
        <v>11455</v>
      </c>
      <c r="Q36" s="13">
        <f t="shared" si="12"/>
        <v>11921</v>
      </c>
      <c r="R36" s="13">
        <v>11911</v>
      </c>
      <c r="S36" s="13">
        <f t="shared" si="12"/>
        <v>13934</v>
      </c>
      <c r="T36" s="13">
        <f t="shared" si="12"/>
        <v>14215</v>
      </c>
      <c r="U36" s="13">
        <f t="shared" ref="U36:V36" si="13">SUM(U24:U35)</f>
        <v>14073</v>
      </c>
      <c r="V36" s="13">
        <f t="shared" si="13"/>
        <v>11752</v>
      </c>
      <c r="W36" s="13">
        <f t="shared" ref="W36" si="14">SUM(W24:W35)</f>
        <v>10424</v>
      </c>
      <c r="X36" s="27">
        <f t="shared" ref="X36:Y36" si="15">SUM(X24:X35)</f>
        <v>10641</v>
      </c>
      <c r="Y36" s="27">
        <f t="shared" si="15"/>
        <v>10815</v>
      </c>
      <c r="Z36" s="27">
        <f t="shared" ref="Z36" si="16">SUM(Z24:Z35)</f>
        <v>12694</v>
      </c>
    </row>
    <row r="37" spans="2:26" x14ac:dyDescent="0.25">
      <c r="B37" s="2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86"/>
      <c r="O37" s="9"/>
      <c r="P37" s="9"/>
      <c r="Q37" s="9"/>
      <c r="R37" s="9"/>
      <c r="S37" s="9"/>
      <c r="T37" s="9"/>
      <c r="U37" s="9"/>
      <c r="V37" s="9"/>
      <c r="W37" s="9"/>
      <c r="X37" s="7"/>
      <c r="Y37" s="7"/>
      <c r="Z37" s="7"/>
    </row>
    <row r="38" spans="2:26" x14ac:dyDescent="0.25">
      <c r="B38" s="2" t="s">
        <v>19</v>
      </c>
      <c r="C38" s="7">
        <v>13063</v>
      </c>
      <c r="D38" s="7">
        <v>12851</v>
      </c>
      <c r="E38" s="7">
        <v>13062</v>
      </c>
      <c r="F38" s="7">
        <v>12949</v>
      </c>
      <c r="G38" s="7">
        <v>13059</v>
      </c>
      <c r="H38" s="7">
        <v>13446</v>
      </c>
      <c r="I38" s="7">
        <v>13575</v>
      </c>
      <c r="J38" s="7">
        <v>13372</v>
      </c>
      <c r="K38" s="7">
        <v>9076</v>
      </c>
      <c r="L38" s="7">
        <v>10105</v>
      </c>
      <c r="M38" s="7">
        <v>10105</v>
      </c>
      <c r="N38" s="83">
        <v>11310</v>
      </c>
      <c r="O38" s="7">
        <v>11102</v>
      </c>
      <c r="P38" s="7">
        <v>11095</v>
      </c>
      <c r="Q38" s="7">
        <v>11347</v>
      </c>
      <c r="R38" s="7">
        <v>11720</v>
      </c>
      <c r="S38" s="7">
        <v>12353</v>
      </c>
      <c r="T38" s="7">
        <v>12465</v>
      </c>
      <c r="U38" s="7">
        <v>12843</v>
      </c>
      <c r="V38" s="7">
        <v>12698</v>
      </c>
      <c r="W38" s="7">
        <v>13197</v>
      </c>
      <c r="X38" s="7">
        <v>13211</v>
      </c>
      <c r="Y38" s="7">
        <v>13646</v>
      </c>
      <c r="Z38" s="7">
        <v>13691</v>
      </c>
    </row>
    <row r="39" spans="2:26" x14ac:dyDescent="0.25">
      <c r="B39" s="2" t="s">
        <v>206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58</v>
      </c>
      <c r="Z39" s="7">
        <v>58</v>
      </c>
    </row>
    <row r="40" spans="2:26" x14ac:dyDescent="0.25">
      <c r="B40" s="2" t="s">
        <v>20</v>
      </c>
      <c r="C40" s="7">
        <v>28524</v>
      </c>
      <c r="D40" s="7">
        <v>27545</v>
      </c>
      <c r="E40" s="7">
        <v>27845</v>
      </c>
      <c r="F40" s="7">
        <v>25091</v>
      </c>
      <c r="G40" s="7">
        <v>24903</v>
      </c>
      <c r="H40" s="7">
        <v>25438</v>
      </c>
      <c r="I40" s="7">
        <v>25161</v>
      </c>
      <c r="J40" s="7">
        <v>25855</v>
      </c>
      <c r="K40" s="7">
        <v>25810</v>
      </c>
      <c r="L40" s="7">
        <v>25629</v>
      </c>
      <c r="M40" s="7">
        <v>26119</v>
      </c>
      <c r="N40" s="83">
        <v>26213</v>
      </c>
      <c r="O40" s="7">
        <v>26058</v>
      </c>
      <c r="P40" s="7">
        <v>26030</v>
      </c>
      <c r="Q40" s="7">
        <v>26681</v>
      </c>
      <c r="R40" s="7">
        <v>27148</v>
      </c>
      <c r="S40" s="7">
        <v>29394</v>
      </c>
      <c r="T40" s="7">
        <v>29832</v>
      </c>
      <c r="U40" s="7">
        <v>30140</v>
      </c>
      <c r="V40" s="7">
        <v>30105</v>
      </c>
      <c r="W40" s="7">
        <v>30924</v>
      </c>
      <c r="X40" s="7">
        <v>31674</v>
      </c>
      <c r="Y40" s="7">
        <v>34053</v>
      </c>
      <c r="Z40" s="7">
        <v>35078</v>
      </c>
    </row>
    <row r="41" spans="2:26" x14ac:dyDescent="0.25">
      <c r="B41" s="2" t="s">
        <v>21</v>
      </c>
      <c r="C41" s="7">
        <v>14671</v>
      </c>
      <c r="D41" s="7">
        <v>13482</v>
      </c>
      <c r="E41" s="7">
        <v>13424</v>
      </c>
      <c r="F41" s="7">
        <v>13013</v>
      </c>
      <c r="G41" s="7">
        <v>12577</v>
      </c>
      <c r="H41" s="7">
        <v>13047</v>
      </c>
      <c r="I41" s="7">
        <v>12067</v>
      </c>
      <c r="J41" s="7">
        <v>12443</v>
      </c>
      <c r="K41" s="7">
        <v>12379</v>
      </c>
      <c r="L41" s="7">
        <v>13764</v>
      </c>
      <c r="M41" s="7">
        <v>13852</v>
      </c>
      <c r="N41" s="83">
        <v>13492</v>
      </c>
      <c r="O41" s="7">
        <v>13315</v>
      </c>
      <c r="P41" s="7">
        <v>13030</v>
      </c>
      <c r="Q41" s="7">
        <v>13367</v>
      </c>
      <c r="R41" s="7">
        <v>13283</v>
      </c>
      <c r="S41" s="7">
        <v>14550</v>
      </c>
      <c r="T41" s="7">
        <v>15227</v>
      </c>
      <c r="U41" s="7">
        <v>15444</v>
      </c>
      <c r="V41" s="7">
        <v>14594</v>
      </c>
      <c r="W41" s="7">
        <v>15871</v>
      </c>
      <c r="X41" s="7">
        <v>14413</v>
      </c>
      <c r="Y41" s="7">
        <v>15869</v>
      </c>
      <c r="Z41" s="7">
        <v>16703</v>
      </c>
    </row>
    <row r="42" spans="2:26" x14ac:dyDescent="0.25">
      <c r="B42" s="33" t="s">
        <v>211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83">
        <v>0</v>
      </c>
      <c r="O42" s="7">
        <v>784</v>
      </c>
      <c r="P42" s="7">
        <v>756</v>
      </c>
      <c r="Q42" s="7">
        <v>884</v>
      </c>
      <c r="R42" s="7">
        <v>813</v>
      </c>
      <c r="S42" s="7">
        <v>882</v>
      </c>
      <c r="T42" s="7">
        <v>868</v>
      </c>
      <c r="U42" s="7">
        <v>853</v>
      </c>
      <c r="V42" s="7">
        <v>797</v>
      </c>
      <c r="W42" s="7">
        <v>858</v>
      </c>
      <c r="X42" s="7">
        <v>1279</v>
      </c>
      <c r="Y42" s="7">
        <v>1636</v>
      </c>
      <c r="Z42" s="7">
        <v>1492</v>
      </c>
    </row>
    <row r="43" spans="2:26" x14ac:dyDescent="0.25">
      <c r="B43" s="2" t="s">
        <v>22</v>
      </c>
      <c r="C43" s="8">
        <v>135</v>
      </c>
      <c r="D43" s="8">
        <v>132</v>
      </c>
      <c r="E43" s="8">
        <v>132</v>
      </c>
      <c r="F43" s="8">
        <v>66</v>
      </c>
      <c r="G43" s="8">
        <v>66</v>
      </c>
      <c r="H43" s="8">
        <v>64</v>
      </c>
      <c r="I43" s="8">
        <v>68</v>
      </c>
      <c r="J43" s="8">
        <v>65</v>
      </c>
      <c r="K43" s="8">
        <v>65</v>
      </c>
      <c r="L43" s="8">
        <v>66</v>
      </c>
      <c r="M43" s="8">
        <v>66</v>
      </c>
      <c r="N43" s="85">
        <v>74</v>
      </c>
      <c r="O43" s="8">
        <v>75</v>
      </c>
      <c r="P43" s="8">
        <v>75</v>
      </c>
      <c r="Q43" s="8">
        <v>75</v>
      </c>
      <c r="R43" s="8">
        <v>85</v>
      </c>
      <c r="S43" s="8">
        <v>81</v>
      </c>
      <c r="T43" s="8">
        <v>89</v>
      </c>
      <c r="U43" s="8">
        <v>102</v>
      </c>
      <c r="V43" s="8">
        <v>96</v>
      </c>
      <c r="W43" s="8">
        <v>95</v>
      </c>
      <c r="X43" s="8">
        <v>98</v>
      </c>
      <c r="Y43" s="8">
        <v>91</v>
      </c>
      <c r="Z43" s="8">
        <v>90</v>
      </c>
    </row>
    <row r="44" spans="2:26" s="16" customFormat="1" x14ac:dyDescent="0.25">
      <c r="B44" s="1"/>
      <c r="C44" s="14">
        <f t="shared" ref="C44:O44" si="17">SUM(C36:C43)</f>
        <v>64862</v>
      </c>
      <c r="D44" s="14">
        <f t="shared" si="17"/>
        <v>62268</v>
      </c>
      <c r="E44" s="14">
        <f t="shared" si="17"/>
        <v>62774</v>
      </c>
      <c r="F44" s="14">
        <f t="shared" si="17"/>
        <v>59215</v>
      </c>
      <c r="G44" s="14">
        <f t="shared" si="17"/>
        <v>58287</v>
      </c>
      <c r="H44" s="14">
        <f t="shared" si="17"/>
        <v>60254</v>
      </c>
      <c r="I44" s="14">
        <f t="shared" si="17"/>
        <v>58592</v>
      </c>
      <c r="J44" s="14">
        <f t="shared" si="17"/>
        <v>59490</v>
      </c>
      <c r="K44" s="14">
        <f t="shared" si="17"/>
        <v>55230</v>
      </c>
      <c r="L44" s="14">
        <f t="shared" si="17"/>
        <v>58950</v>
      </c>
      <c r="M44" s="14">
        <f t="shared" si="17"/>
        <v>59708</v>
      </c>
      <c r="N44" s="87">
        <f t="shared" si="17"/>
        <v>60633</v>
      </c>
      <c r="O44" s="14">
        <f t="shared" si="17"/>
        <v>63441</v>
      </c>
      <c r="P44" s="14">
        <f t="shared" ref="P44:T44" si="18">SUM(P36:P43)</f>
        <v>62441</v>
      </c>
      <c r="Q44" s="14">
        <f t="shared" si="18"/>
        <v>64275</v>
      </c>
      <c r="R44" s="14">
        <v>64960</v>
      </c>
      <c r="S44" s="14">
        <f t="shared" si="18"/>
        <v>71194</v>
      </c>
      <c r="T44" s="14">
        <f t="shared" si="18"/>
        <v>72696</v>
      </c>
      <c r="U44" s="14">
        <f t="shared" ref="U44:V44" si="19">SUM(U36:U43)</f>
        <v>73455</v>
      </c>
      <c r="V44" s="14">
        <f t="shared" si="19"/>
        <v>70042</v>
      </c>
      <c r="W44" s="14">
        <f t="shared" ref="W44" si="20">SUM(W36:W43)</f>
        <v>71369</v>
      </c>
      <c r="X44" s="14">
        <f t="shared" ref="X44:Y44" si="21">SUM(X36:X43)</f>
        <v>71316</v>
      </c>
      <c r="Y44" s="14">
        <f t="shared" si="21"/>
        <v>76168</v>
      </c>
      <c r="Z44" s="14">
        <f t="shared" ref="Z44" si="22">SUM(Z36:Z43)</f>
        <v>79806</v>
      </c>
    </row>
    <row r="45" spans="2:26" x14ac:dyDescent="0.25">
      <c r="B45" s="1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83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2:26" s="16" customFormat="1" ht="14.95" thickBot="1" x14ac:dyDescent="0.3">
      <c r="B46" s="1" t="s">
        <v>23</v>
      </c>
      <c r="C46" s="15">
        <f t="shared" ref="C46:O46" si="23">C21+C44</f>
        <v>82867</v>
      </c>
      <c r="D46" s="15">
        <f t="shared" si="23"/>
        <v>79155</v>
      </c>
      <c r="E46" s="15">
        <f t="shared" si="23"/>
        <v>80158</v>
      </c>
      <c r="F46" s="15">
        <f t="shared" si="23"/>
        <v>79598</v>
      </c>
      <c r="G46" s="15">
        <f t="shared" si="23"/>
        <v>77513</v>
      </c>
      <c r="H46" s="15">
        <f t="shared" si="23"/>
        <v>80688</v>
      </c>
      <c r="I46" s="15">
        <f t="shared" si="23"/>
        <v>79431</v>
      </c>
      <c r="J46" s="15">
        <f t="shared" si="23"/>
        <v>82669</v>
      </c>
      <c r="K46" s="15">
        <f t="shared" si="23"/>
        <v>80567</v>
      </c>
      <c r="L46" s="15">
        <f t="shared" si="23"/>
        <v>82578</v>
      </c>
      <c r="M46" s="15">
        <f t="shared" si="23"/>
        <v>84121</v>
      </c>
      <c r="N46" s="89">
        <f t="shared" si="23"/>
        <v>85046</v>
      </c>
      <c r="O46" s="15">
        <f t="shared" si="23"/>
        <v>83517</v>
      </c>
      <c r="P46" s="15">
        <f t="shared" ref="P46:T46" si="24">P21+P44</f>
        <v>82152</v>
      </c>
      <c r="Q46" s="15">
        <f t="shared" si="24"/>
        <v>83937</v>
      </c>
      <c r="R46" s="15">
        <v>84723</v>
      </c>
      <c r="S46" s="15">
        <f t="shared" si="24"/>
        <v>93521</v>
      </c>
      <c r="T46" s="15">
        <f t="shared" si="24"/>
        <v>97501</v>
      </c>
      <c r="U46" s="15">
        <f t="shared" ref="U46:V46" si="25">U21+U44</f>
        <v>99609</v>
      </c>
      <c r="V46" s="15">
        <f t="shared" si="25"/>
        <v>96478</v>
      </c>
      <c r="W46" s="15">
        <f t="shared" ref="W46:Y46" si="26">W21+W44</f>
        <v>100207</v>
      </c>
      <c r="X46" s="15">
        <f t="shared" si="26"/>
        <v>100074</v>
      </c>
      <c r="Y46" s="15">
        <f t="shared" si="26"/>
        <v>108494</v>
      </c>
      <c r="Z46" s="15">
        <f t="shared" ref="Z46" si="27">Z21+Z44</f>
        <v>118358</v>
      </c>
    </row>
    <row r="47" spans="2:26" ht="14.95" thickTop="1" x14ac:dyDescent="0.25">
      <c r="B47" s="2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83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2:26" ht="15.65" x14ac:dyDescent="0.25">
      <c r="B48" s="5" t="s">
        <v>24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83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2:26" x14ac:dyDescent="0.25">
      <c r="B49" s="1" t="s">
        <v>25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83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2:26" x14ac:dyDescent="0.25">
      <c r="B50" s="2" t="s">
        <v>26</v>
      </c>
      <c r="C50" s="7">
        <v>2447</v>
      </c>
      <c r="D50" s="7">
        <v>1942</v>
      </c>
      <c r="E50" s="7">
        <v>1483</v>
      </c>
      <c r="F50" s="7">
        <v>1772</v>
      </c>
      <c r="G50" s="7">
        <v>1721</v>
      </c>
      <c r="H50" s="7">
        <v>1845</v>
      </c>
      <c r="I50" s="7">
        <v>2156</v>
      </c>
      <c r="J50" s="7">
        <v>2573</v>
      </c>
      <c r="K50" s="7">
        <v>2197</v>
      </c>
      <c r="L50" s="7">
        <v>1232</v>
      </c>
      <c r="M50" s="7">
        <v>2593</v>
      </c>
      <c r="N50" s="83">
        <v>5291</v>
      </c>
      <c r="O50" s="7">
        <v>1672</v>
      </c>
      <c r="P50" s="7">
        <v>1278</v>
      </c>
      <c r="Q50" s="7">
        <v>774</v>
      </c>
      <c r="R50" s="7">
        <v>954</v>
      </c>
      <c r="S50" s="7">
        <v>1620</v>
      </c>
      <c r="T50" s="7">
        <v>2789</v>
      </c>
      <c r="U50" s="7">
        <v>3045</v>
      </c>
      <c r="V50" s="7">
        <v>1407</v>
      </c>
      <c r="W50" s="7">
        <v>1519</v>
      </c>
      <c r="X50" s="7">
        <v>1004</v>
      </c>
      <c r="Y50" s="7">
        <v>868</v>
      </c>
      <c r="Z50" s="7">
        <v>603</v>
      </c>
    </row>
    <row r="51" spans="2:26" x14ac:dyDescent="0.25">
      <c r="B51" s="2" t="s">
        <v>7</v>
      </c>
      <c r="C51" s="7">
        <v>415</v>
      </c>
      <c r="D51" s="7">
        <v>520</v>
      </c>
      <c r="E51" s="7">
        <v>495</v>
      </c>
      <c r="F51" s="7">
        <v>401</v>
      </c>
      <c r="G51" s="7">
        <v>484</v>
      </c>
      <c r="H51" s="7">
        <v>407</v>
      </c>
      <c r="I51" s="7">
        <v>385</v>
      </c>
      <c r="J51" s="7">
        <v>299</v>
      </c>
      <c r="K51" s="7">
        <v>50</v>
      </c>
      <c r="L51" s="7">
        <v>252</v>
      </c>
      <c r="M51" s="7">
        <v>278</v>
      </c>
      <c r="N51" s="83">
        <v>166</v>
      </c>
      <c r="O51" s="7">
        <v>102</v>
      </c>
      <c r="P51" s="7">
        <v>53</v>
      </c>
      <c r="Q51" s="7">
        <v>99</v>
      </c>
      <c r="R51" s="7">
        <v>69</v>
      </c>
      <c r="S51" s="7">
        <v>494</v>
      </c>
      <c r="T51" s="7">
        <v>484</v>
      </c>
      <c r="U51" s="7">
        <v>463</v>
      </c>
      <c r="V51" s="83">
        <v>511</v>
      </c>
      <c r="W51" s="7">
        <v>662</v>
      </c>
      <c r="X51" s="7">
        <v>636</v>
      </c>
      <c r="Y51" s="7">
        <v>740</v>
      </c>
      <c r="Z51" s="7">
        <v>556</v>
      </c>
    </row>
    <row r="52" spans="2:26" x14ac:dyDescent="0.25">
      <c r="B52" s="33" t="s">
        <v>170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83">
        <v>0</v>
      </c>
      <c r="O52" s="7">
        <v>250</v>
      </c>
      <c r="P52" s="7">
        <v>196</v>
      </c>
      <c r="Q52" s="7">
        <v>229</v>
      </c>
      <c r="R52" s="7">
        <v>210</v>
      </c>
      <c r="S52" s="7">
        <v>244</v>
      </c>
      <c r="T52" s="7">
        <v>246</v>
      </c>
      <c r="U52" s="7">
        <v>254</v>
      </c>
      <c r="V52" s="83">
        <v>235</v>
      </c>
      <c r="W52" s="7">
        <v>247</v>
      </c>
      <c r="X52" s="7">
        <v>305</v>
      </c>
      <c r="Y52" s="7">
        <v>346</v>
      </c>
      <c r="Z52" s="7">
        <v>330</v>
      </c>
    </row>
    <row r="53" spans="2:26" x14ac:dyDescent="0.25">
      <c r="B53" s="2" t="s">
        <v>27</v>
      </c>
      <c r="C53" s="7">
        <v>966</v>
      </c>
      <c r="D53" s="7">
        <v>784</v>
      </c>
      <c r="E53" s="7">
        <v>914</v>
      </c>
      <c r="F53" s="7">
        <v>968</v>
      </c>
      <c r="G53" s="7">
        <v>1009</v>
      </c>
      <c r="H53" s="7">
        <v>899</v>
      </c>
      <c r="I53" s="7">
        <v>769</v>
      </c>
      <c r="J53" s="7">
        <v>1070</v>
      </c>
      <c r="K53" s="7">
        <v>1253</v>
      </c>
      <c r="L53" s="7">
        <v>990</v>
      </c>
      <c r="M53" s="7">
        <v>1029</v>
      </c>
      <c r="N53" s="83">
        <v>1312</v>
      </c>
      <c r="O53" s="7">
        <v>989</v>
      </c>
      <c r="P53" s="7">
        <v>1177</v>
      </c>
      <c r="Q53" s="7">
        <v>1397</v>
      </c>
      <c r="R53" s="7">
        <v>1415</v>
      </c>
      <c r="S53" s="7">
        <v>1362</v>
      </c>
      <c r="T53" s="7">
        <v>1287</v>
      </c>
      <c r="U53" s="7">
        <v>1706</v>
      </c>
      <c r="V53" s="7">
        <v>2380</v>
      </c>
      <c r="W53" s="7">
        <v>2529</v>
      </c>
      <c r="X53" s="7">
        <v>2518</v>
      </c>
      <c r="Y53" s="7">
        <v>2904</v>
      </c>
      <c r="Z53" s="7">
        <v>3405</v>
      </c>
    </row>
    <row r="54" spans="2:26" x14ac:dyDescent="0.25">
      <c r="B54" s="2" t="s">
        <v>28</v>
      </c>
      <c r="C54" s="7">
        <v>2989</v>
      </c>
      <c r="D54" s="7">
        <v>2879</v>
      </c>
      <c r="E54" s="7">
        <v>2727</v>
      </c>
      <c r="F54" s="7">
        <v>2726</v>
      </c>
      <c r="G54" s="7">
        <v>2307</v>
      </c>
      <c r="H54" s="7">
        <v>2806</v>
      </c>
      <c r="I54" s="7">
        <v>2819</v>
      </c>
      <c r="J54" s="7">
        <v>3353</v>
      </c>
      <c r="K54" s="7">
        <v>3170</v>
      </c>
      <c r="L54" s="7">
        <v>3963</v>
      </c>
      <c r="M54" s="7">
        <v>4156</v>
      </c>
      <c r="N54" s="83">
        <v>4137</v>
      </c>
      <c r="O54" s="7">
        <v>3618</v>
      </c>
      <c r="P54" s="7">
        <v>3748</v>
      </c>
      <c r="Q54" s="7">
        <v>3919</v>
      </c>
      <c r="R54" s="7">
        <v>4429</v>
      </c>
      <c r="S54" s="7">
        <v>4148</v>
      </c>
      <c r="T54" s="7">
        <v>4219</v>
      </c>
      <c r="U54" s="7">
        <v>4914</v>
      </c>
      <c r="V54" s="7">
        <v>5404</v>
      </c>
      <c r="W54" s="7">
        <v>5218</v>
      </c>
      <c r="X54" s="7">
        <v>5269</v>
      </c>
      <c r="Y54" s="7">
        <v>6119</v>
      </c>
      <c r="Z54" s="7">
        <v>6914</v>
      </c>
    </row>
    <row r="55" spans="2:26" x14ac:dyDescent="0.25">
      <c r="B55" s="2" t="s">
        <v>29</v>
      </c>
      <c r="C55" s="7">
        <v>663</v>
      </c>
      <c r="D55" s="7">
        <v>727</v>
      </c>
      <c r="E55" s="7">
        <v>863</v>
      </c>
      <c r="F55" s="7">
        <v>848</v>
      </c>
      <c r="G55" s="7">
        <v>539</v>
      </c>
      <c r="H55" s="7">
        <v>663</v>
      </c>
      <c r="I55" s="7">
        <v>810</v>
      </c>
      <c r="J55" s="7">
        <v>895</v>
      </c>
      <c r="K55" s="7">
        <v>555</v>
      </c>
      <c r="L55" s="7">
        <v>742</v>
      </c>
      <c r="M55" s="7">
        <v>887</v>
      </c>
      <c r="N55" s="83">
        <v>845</v>
      </c>
      <c r="O55" s="7">
        <v>587</v>
      </c>
      <c r="P55" s="7">
        <v>701</v>
      </c>
      <c r="Q55" s="7">
        <v>839</v>
      </c>
      <c r="R55" s="7">
        <v>836</v>
      </c>
      <c r="S55" s="7">
        <v>691</v>
      </c>
      <c r="T55" s="7">
        <v>896</v>
      </c>
      <c r="U55" s="7">
        <v>1125</v>
      </c>
      <c r="V55" s="7">
        <v>1174</v>
      </c>
      <c r="W55" s="7">
        <v>895</v>
      </c>
      <c r="X55" s="7">
        <v>999</v>
      </c>
      <c r="Y55" s="7">
        <v>1296</v>
      </c>
      <c r="Z55" s="7">
        <v>1377</v>
      </c>
    </row>
    <row r="56" spans="2:26" x14ac:dyDescent="0.25">
      <c r="B56" s="2" t="s">
        <v>30</v>
      </c>
      <c r="C56" s="7">
        <v>427</v>
      </c>
      <c r="D56" s="7">
        <v>448</v>
      </c>
      <c r="E56" s="7">
        <v>472</v>
      </c>
      <c r="F56" s="7">
        <v>422</v>
      </c>
      <c r="G56" s="7">
        <v>445</v>
      </c>
      <c r="H56" s="7">
        <v>465</v>
      </c>
      <c r="I56" s="7">
        <v>535</v>
      </c>
      <c r="J56" s="7">
        <v>617</v>
      </c>
      <c r="K56" s="7">
        <v>411</v>
      </c>
      <c r="L56" s="7">
        <v>465</v>
      </c>
      <c r="M56" s="7">
        <v>535</v>
      </c>
      <c r="N56" s="83">
        <v>490</v>
      </c>
      <c r="O56" s="7">
        <v>499</v>
      </c>
      <c r="P56" s="7">
        <v>509</v>
      </c>
      <c r="Q56" s="7">
        <v>559</v>
      </c>
      <c r="R56" s="7">
        <v>424</v>
      </c>
      <c r="S56" s="7">
        <v>461</v>
      </c>
      <c r="T56" s="7">
        <v>571</v>
      </c>
      <c r="U56" s="7">
        <v>899</v>
      </c>
      <c r="V56" s="7">
        <v>760</v>
      </c>
      <c r="W56" s="7">
        <v>1118</v>
      </c>
      <c r="X56" s="7">
        <v>1379</v>
      </c>
      <c r="Y56" s="7">
        <v>1712</v>
      </c>
      <c r="Z56" s="7">
        <v>1627</v>
      </c>
    </row>
    <row r="57" spans="2:26" x14ac:dyDescent="0.25">
      <c r="B57" s="2" t="s">
        <v>31</v>
      </c>
      <c r="C57" s="7">
        <v>222</v>
      </c>
      <c r="D57" s="7">
        <v>179</v>
      </c>
      <c r="E57" s="7">
        <v>179</v>
      </c>
      <c r="F57" s="7">
        <v>174</v>
      </c>
      <c r="G57" s="7">
        <v>186</v>
      </c>
      <c r="H57" s="7">
        <v>179</v>
      </c>
      <c r="I57" s="7">
        <v>190</v>
      </c>
      <c r="J57" s="7">
        <v>408</v>
      </c>
      <c r="K57" s="7">
        <v>395</v>
      </c>
      <c r="L57" s="7">
        <v>236</v>
      </c>
      <c r="M57" s="7">
        <v>231</v>
      </c>
      <c r="N57" s="83">
        <v>128</v>
      </c>
      <c r="O57" s="7">
        <v>132</v>
      </c>
      <c r="P57" s="7">
        <v>121</v>
      </c>
      <c r="Q57" s="7">
        <v>139</v>
      </c>
      <c r="R57" s="7">
        <v>102</v>
      </c>
      <c r="S57" s="7">
        <v>221</v>
      </c>
      <c r="T57" s="7">
        <v>389</v>
      </c>
      <c r="U57" s="7">
        <v>234</v>
      </c>
      <c r="V57" s="7">
        <v>182</v>
      </c>
      <c r="W57" s="7">
        <v>217</v>
      </c>
      <c r="X57" s="7">
        <v>251</v>
      </c>
      <c r="Y57" s="7">
        <v>259</v>
      </c>
      <c r="Z57" s="7">
        <v>188</v>
      </c>
    </row>
    <row r="58" spans="2:26" x14ac:dyDescent="0.25">
      <c r="B58" s="2" t="s">
        <v>32</v>
      </c>
      <c r="C58" s="7">
        <v>197</v>
      </c>
      <c r="D58" s="7">
        <v>59</v>
      </c>
      <c r="E58" s="7">
        <v>54</v>
      </c>
      <c r="F58" s="7">
        <v>48</v>
      </c>
      <c r="G58" s="7">
        <v>57</v>
      </c>
      <c r="H58" s="7">
        <v>51</v>
      </c>
      <c r="I58" s="7">
        <v>238</v>
      </c>
      <c r="J58" s="7">
        <v>188</v>
      </c>
      <c r="K58" s="7">
        <v>680</v>
      </c>
      <c r="L58" s="7">
        <v>63</v>
      </c>
      <c r="M58" s="7">
        <v>51</v>
      </c>
      <c r="N58" s="83">
        <v>482</v>
      </c>
      <c r="O58" s="7">
        <v>511</v>
      </c>
      <c r="P58" s="7">
        <v>529</v>
      </c>
      <c r="Q58" s="7">
        <v>48</v>
      </c>
      <c r="R58" s="7">
        <v>120</v>
      </c>
      <c r="S58" s="7">
        <v>105</v>
      </c>
      <c r="T58" s="7">
        <v>64</v>
      </c>
      <c r="U58" s="7">
        <v>28</v>
      </c>
      <c r="V58" s="7">
        <v>44</v>
      </c>
      <c r="W58" s="7">
        <v>28</v>
      </c>
      <c r="X58" s="7">
        <v>25</v>
      </c>
      <c r="Y58" s="7">
        <v>36</v>
      </c>
      <c r="Z58" s="7">
        <v>1624</v>
      </c>
    </row>
    <row r="59" spans="2:26" x14ac:dyDescent="0.25">
      <c r="B59" s="2" t="s">
        <v>33</v>
      </c>
      <c r="C59" s="7">
        <v>62</v>
      </c>
      <c r="D59" s="7">
        <v>63</v>
      </c>
      <c r="E59" s="7">
        <v>64</v>
      </c>
      <c r="F59" s="7">
        <v>67</v>
      </c>
      <c r="G59" s="7">
        <v>68</v>
      </c>
      <c r="H59" s="7">
        <v>69</v>
      </c>
      <c r="I59" s="7">
        <v>67</v>
      </c>
      <c r="J59" s="7">
        <v>76</v>
      </c>
      <c r="K59" s="7">
        <v>76</v>
      </c>
      <c r="L59" s="7">
        <v>77</v>
      </c>
      <c r="M59" s="7">
        <v>78</v>
      </c>
      <c r="N59" s="83">
        <v>83</v>
      </c>
      <c r="O59" s="7">
        <v>82</v>
      </c>
      <c r="P59" s="7">
        <v>83</v>
      </c>
      <c r="Q59" s="7">
        <v>83</v>
      </c>
      <c r="R59" s="7">
        <v>87</v>
      </c>
      <c r="S59" s="7">
        <v>88</v>
      </c>
      <c r="T59" s="7">
        <v>90</v>
      </c>
      <c r="U59" s="7">
        <v>93</v>
      </c>
      <c r="V59" s="7">
        <v>97</v>
      </c>
      <c r="W59" s="7">
        <v>106</v>
      </c>
      <c r="X59" s="7">
        <v>117</v>
      </c>
      <c r="Y59" s="7">
        <v>126</v>
      </c>
      <c r="Z59" s="7">
        <v>175</v>
      </c>
    </row>
    <row r="60" spans="2:26" x14ac:dyDescent="0.25">
      <c r="B60" s="2" t="s">
        <v>205</v>
      </c>
      <c r="C60" s="7">
        <v>0</v>
      </c>
      <c r="D60" s="7">
        <v>8</v>
      </c>
      <c r="E60" s="7">
        <v>8</v>
      </c>
      <c r="F60" s="7">
        <v>0</v>
      </c>
      <c r="G60" s="7">
        <v>0</v>
      </c>
      <c r="H60" s="7">
        <v>0</v>
      </c>
      <c r="I60" s="7">
        <v>0</v>
      </c>
      <c r="J60" s="7">
        <v>1</v>
      </c>
      <c r="K60" s="7">
        <v>1</v>
      </c>
      <c r="L60" s="7">
        <v>5</v>
      </c>
      <c r="M60" s="7">
        <v>8</v>
      </c>
      <c r="N60" s="83">
        <v>19</v>
      </c>
      <c r="O60" s="7">
        <v>0</v>
      </c>
      <c r="P60" s="7">
        <v>11</v>
      </c>
      <c r="Q60" s="7">
        <v>19</v>
      </c>
      <c r="R60" s="7">
        <v>81</v>
      </c>
      <c r="S60" s="7">
        <v>41</v>
      </c>
      <c r="T60" s="7">
        <v>68</v>
      </c>
      <c r="U60" s="7">
        <v>68</v>
      </c>
      <c r="V60" s="7">
        <v>75</v>
      </c>
      <c r="W60" s="7">
        <v>82</v>
      </c>
      <c r="X60" s="7">
        <v>6</v>
      </c>
      <c r="Y60" s="7">
        <v>1</v>
      </c>
      <c r="Z60" s="7">
        <v>800</v>
      </c>
    </row>
    <row r="61" spans="2:26" x14ac:dyDescent="0.25">
      <c r="B61" s="2" t="s">
        <v>34</v>
      </c>
      <c r="C61" s="7">
        <v>0</v>
      </c>
      <c r="D61" s="7">
        <v>0</v>
      </c>
      <c r="E61" s="7">
        <v>249</v>
      </c>
      <c r="F61" s="7">
        <v>244</v>
      </c>
      <c r="G61" s="7">
        <v>244</v>
      </c>
      <c r="H61" s="7">
        <v>243</v>
      </c>
      <c r="I61" s="7">
        <v>242</v>
      </c>
      <c r="J61" s="7">
        <v>246</v>
      </c>
      <c r="K61" s="7">
        <v>247</v>
      </c>
      <c r="L61" s="7">
        <v>245</v>
      </c>
      <c r="M61" s="7">
        <v>251</v>
      </c>
      <c r="N61" s="83">
        <v>242</v>
      </c>
      <c r="O61" s="7">
        <v>211</v>
      </c>
      <c r="P61" s="7">
        <v>150</v>
      </c>
      <c r="Q61" s="7">
        <v>89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</row>
    <row r="62" spans="2:26" x14ac:dyDescent="0.25">
      <c r="B62" s="2" t="s">
        <v>35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97</v>
      </c>
      <c r="J62" s="7">
        <v>104</v>
      </c>
      <c r="K62" s="7">
        <v>92</v>
      </c>
      <c r="L62" s="7">
        <v>116</v>
      </c>
      <c r="M62" s="7">
        <v>124</v>
      </c>
      <c r="N62" s="83">
        <v>124</v>
      </c>
      <c r="O62" s="7">
        <v>117</v>
      </c>
      <c r="P62" s="7">
        <v>118</v>
      </c>
      <c r="Q62" s="7">
        <v>108</v>
      </c>
      <c r="R62" s="7">
        <v>106</v>
      </c>
      <c r="S62" s="7">
        <v>127</v>
      </c>
      <c r="T62" s="7">
        <v>136</v>
      </c>
      <c r="U62" s="7">
        <v>141</v>
      </c>
      <c r="V62" s="7">
        <v>141</v>
      </c>
      <c r="W62" s="7">
        <v>136</v>
      </c>
      <c r="X62" s="7">
        <v>110</v>
      </c>
      <c r="Y62" s="7">
        <v>167</v>
      </c>
      <c r="Z62" s="7">
        <v>185</v>
      </c>
    </row>
    <row r="63" spans="2:26" x14ac:dyDescent="0.25">
      <c r="B63" s="2" t="s">
        <v>36</v>
      </c>
      <c r="C63" s="8">
        <v>799</v>
      </c>
      <c r="D63" s="8">
        <v>886</v>
      </c>
      <c r="E63" s="8">
        <v>587</v>
      </c>
      <c r="F63" s="8">
        <v>795</v>
      </c>
      <c r="G63" s="8">
        <v>647</v>
      </c>
      <c r="H63" s="8">
        <v>686</v>
      </c>
      <c r="I63" s="8">
        <v>573</v>
      </c>
      <c r="J63" s="8">
        <v>643</v>
      </c>
      <c r="K63" s="8">
        <v>641</v>
      </c>
      <c r="L63" s="8">
        <v>681</v>
      </c>
      <c r="M63" s="8">
        <v>737</v>
      </c>
      <c r="N63" s="85">
        <v>808</v>
      </c>
      <c r="O63" s="8">
        <v>741</v>
      </c>
      <c r="P63" s="8">
        <v>788</v>
      </c>
      <c r="Q63" s="8">
        <v>849</v>
      </c>
      <c r="R63" s="8">
        <v>870</v>
      </c>
      <c r="S63" s="8">
        <v>951</v>
      </c>
      <c r="T63" s="8">
        <v>999</v>
      </c>
      <c r="U63" s="8">
        <v>939</v>
      </c>
      <c r="V63" s="8">
        <v>924</v>
      </c>
      <c r="W63" s="139">
        <v>1021</v>
      </c>
      <c r="X63" s="139">
        <v>1317</v>
      </c>
      <c r="Y63" s="139">
        <v>1202</v>
      </c>
      <c r="Z63" s="139">
        <v>1529</v>
      </c>
    </row>
    <row r="64" spans="2:26" s="16" customFormat="1" x14ac:dyDescent="0.25">
      <c r="B64" s="1"/>
      <c r="C64" s="13">
        <f t="shared" ref="C64:Q64" si="28">SUM(C50:C63)</f>
        <v>9187</v>
      </c>
      <c r="D64" s="13">
        <f t="shared" si="28"/>
        <v>8495</v>
      </c>
      <c r="E64" s="13">
        <f t="shared" si="28"/>
        <v>8095</v>
      </c>
      <c r="F64" s="13">
        <f t="shared" si="28"/>
        <v>8465</v>
      </c>
      <c r="G64" s="13">
        <f t="shared" si="28"/>
        <v>7707</v>
      </c>
      <c r="H64" s="13">
        <f t="shared" si="28"/>
        <v>8313</v>
      </c>
      <c r="I64" s="13">
        <f t="shared" si="28"/>
        <v>8881</v>
      </c>
      <c r="J64" s="13">
        <f t="shared" si="28"/>
        <v>10473</v>
      </c>
      <c r="K64" s="13">
        <f t="shared" si="28"/>
        <v>9768</v>
      </c>
      <c r="L64" s="13">
        <f t="shared" si="28"/>
        <v>9067</v>
      </c>
      <c r="M64" s="13">
        <f t="shared" si="28"/>
        <v>10958</v>
      </c>
      <c r="N64" s="88">
        <f t="shared" si="28"/>
        <v>14127</v>
      </c>
      <c r="O64" s="13">
        <f t="shared" si="28"/>
        <v>9511</v>
      </c>
      <c r="P64" s="13">
        <f t="shared" si="28"/>
        <v>9462</v>
      </c>
      <c r="Q64" s="13">
        <f t="shared" si="28"/>
        <v>9151</v>
      </c>
      <c r="R64" s="13">
        <v>9703</v>
      </c>
      <c r="S64" s="13">
        <f>SUM(S50:S63)</f>
        <v>10553</v>
      </c>
      <c r="T64" s="13">
        <f>SUM(T50:T63)</f>
        <v>12238</v>
      </c>
      <c r="U64" s="13">
        <f>SUM(U50:U63)</f>
        <v>13909</v>
      </c>
      <c r="V64" s="13">
        <f>SUM(V50:V63)</f>
        <v>13334</v>
      </c>
      <c r="W64" s="13">
        <f>SUM(W50:W63)</f>
        <v>13778</v>
      </c>
      <c r="X64" s="27">
        <f t="shared" ref="X64:Y64" si="29">SUM(X50:X63)</f>
        <v>13936</v>
      </c>
      <c r="Y64" s="27">
        <f t="shared" si="29"/>
        <v>15776</v>
      </c>
      <c r="Z64" s="27">
        <f t="shared" ref="Z64" si="30">SUM(Z50:Z63)</f>
        <v>19313</v>
      </c>
    </row>
    <row r="65" spans="2:26" x14ac:dyDescent="0.25">
      <c r="B65" s="2" t="s">
        <v>37</v>
      </c>
      <c r="C65" s="8">
        <v>0</v>
      </c>
      <c r="D65" s="8">
        <v>0</v>
      </c>
      <c r="E65" s="8">
        <v>0</v>
      </c>
      <c r="F65" s="7">
        <v>1522</v>
      </c>
      <c r="G65" s="7">
        <v>1522</v>
      </c>
      <c r="H65" s="7">
        <v>1522</v>
      </c>
      <c r="I65" s="7">
        <v>1606</v>
      </c>
      <c r="J65" s="7">
        <v>1526</v>
      </c>
      <c r="K65" s="7">
        <v>1526</v>
      </c>
      <c r="L65" s="7">
        <v>3</v>
      </c>
      <c r="M65" s="7">
        <v>3</v>
      </c>
      <c r="N65" s="83">
        <v>108</v>
      </c>
      <c r="O65" s="7">
        <v>119</v>
      </c>
      <c r="P65" s="7">
        <v>0</v>
      </c>
      <c r="Q65" s="7">
        <v>2</v>
      </c>
      <c r="R65" s="7">
        <v>2</v>
      </c>
      <c r="S65" s="7">
        <v>2</v>
      </c>
      <c r="T65" s="7">
        <v>2</v>
      </c>
      <c r="U65" s="7">
        <v>2</v>
      </c>
      <c r="V65" s="7">
        <v>2</v>
      </c>
      <c r="W65" s="7">
        <v>2</v>
      </c>
      <c r="X65" s="7">
        <v>1</v>
      </c>
      <c r="Y65" s="7">
        <v>12</v>
      </c>
      <c r="Z65" s="7">
        <v>1163</v>
      </c>
    </row>
    <row r="66" spans="2:26" s="16" customFormat="1" x14ac:dyDescent="0.25">
      <c r="B66" s="1"/>
      <c r="C66" s="14">
        <f t="shared" ref="C66:O66" si="31">SUM(C64:C65)</f>
        <v>9187</v>
      </c>
      <c r="D66" s="14">
        <f t="shared" si="31"/>
        <v>8495</v>
      </c>
      <c r="E66" s="14">
        <f t="shared" si="31"/>
        <v>8095</v>
      </c>
      <c r="F66" s="14">
        <f t="shared" si="31"/>
        <v>9987</v>
      </c>
      <c r="G66" s="14">
        <f t="shared" si="31"/>
        <v>9229</v>
      </c>
      <c r="H66" s="14">
        <f t="shared" si="31"/>
        <v>9835</v>
      </c>
      <c r="I66" s="14">
        <f t="shared" si="31"/>
        <v>10487</v>
      </c>
      <c r="J66" s="14">
        <f t="shared" si="31"/>
        <v>11999</v>
      </c>
      <c r="K66" s="14">
        <f t="shared" si="31"/>
        <v>11294</v>
      </c>
      <c r="L66" s="14">
        <f t="shared" si="31"/>
        <v>9070</v>
      </c>
      <c r="M66" s="14">
        <f t="shared" si="31"/>
        <v>10961</v>
      </c>
      <c r="N66" s="87">
        <f t="shared" si="31"/>
        <v>14235</v>
      </c>
      <c r="O66" s="14">
        <f t="shared" si="31"/>
        <v>9630</v>
      </c>
      <c r="P66" s="14">
        <f t="shared" ref="P66:T66" si="32">SUM(P64:P65)</f>
        <v>9462</v>
      </c>
      <c r="Q66" s="14">
        <f t="shared" si="32"/>
        <v>9153</v>
      </c>
      <c r="R66" s="14">
        <v>9705</v>
      </c>
      <c r="S66" s="14">
        <f t="shared" si="32"/>
        <v>10555</v>
      </c>
      <c r="T66" s="14">
        <f t="shared" si="32"/>
        <v>12240</v>
      </c>
      <c r="U66" s="14">
        <f t="shared" ref="U66:V66" si="33">SUM(U64:U65)</f>
        <v>13911</v>
      </c>
      <c r="V66" s="14">
        <f t="shared" si="33"/>
        <v>13336</v>
      </c>
      <c r="W66" s="14">
        <f t="shared" ref="W66" si="34">SUM(W64:W65)</f>
        <v>13780</v>
      </c>
      <c r="X66" s="14">
        <f t="shared" ref="X66:Y66" si="35">SUM(X64:X65)</f>
        <v>13937</v>
      </c>
      <c r="Y66" s="14">
        <f t="shared" si="35"/>
        <v>15788</v>
      </c>
      <c r="Z66" s="14">
        <f t="shared" ref="Z66" si="36">SUM(Z64:Z65)</f>
        <v>20476</v>
      </c>
    </row>
    <row r="67" spans="2:26" x14ac:dyDescent="0.25">
      <c r="B67" s="1" t="s">
        <v>38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83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2:26" x14ac:dyDescent="0.25">
      <c r="B68" s="2" t="s">
        <v>26</v>
      </c>
      <c r="C68" s="7">
        <v>24614</v>
      </c>
      <c r="D68" s="7">
        <v>22666</v>
      </c>
      <c r="E68" s="7">
        <v>23712</v>
      </c>
      <c r="F68" s="7">
        <v>22631</v>
      </c>
      <c r="G68" s="7">
        <v>22511</v>
      </c>
      <c r="H68" s="7">
        <v>23956</v>
      </c>
      <c r="I68" s="7">
        <v>22757</v>
      </c>
      <c r="J68" s="7">
        <v>22057</v>
      </c>
      <c r="K68" s="7">
        <v>21277</v>
      </c>
      <c r="L68" s="7">
        <v>23504</v>
      </c>
      <c r="M68" s="7">
        <v>22760</v>
      </c>
      <c r="N68" s="83">
        <v>19160</v>
      </c>
      <c r="O68" s="7">
        <v>18604</v>
      </c>
      <c r="P68" s="7">
        <v>18193</v>
      </c>
      <c r="Q68" s="7">
        <v>19330</v>
      </c>
      <c r="R68" s="7">
        <v>18801</v>
      </c>
      <c r="S68" s="7">
        <v>24743</v>
      </c>
      <c r="T68" s="7">
        <v>26669</v>
      </c>
      <c r="U68" s="7">
        <v>25752</v>
      </c>
      <c r="V68" s="7">
        <v>23658</v>
      </c>
      <c r="W68" s="7">
        <v>25853</v>
      </c>
      <c r="X68" s="7">
        <v>23427</v>
      </c>
      <c r="Y68" s="7">
        <v>24900</v>
      </c>
      <c r="Z68" s="7">
        <v>24401</v>
      </c>
    </row>
    <row r="69" spans="2:26" x14ac:dyDescent="0.25">
      <c r="B69" s="2" t="s">
        <v>7</v>
      </c>
      <c r="C69" s="7">
        <v>54</v>
      </c>
      <c r="D69" s="7">
        <v>592</v>
      </c>
      <c r="E69" s="7">
        <v>490</v>
      </c>
      <c r="F69" s="7">
        <v>342</v>
      </c>
      <c r="G69" s="7">
        <v>415</v>
      </c>
      <c r="H69" s="7">
        <v>366</v>
      </c>
      <c r="I69" s="7">
        <v>350</v>
      </c>
      <c r="J69" s="7">
        <v>83</v>
      </c>
      <c r="K69" s="7">
        <v>99</v>
      </c>
      <c r="L69" s="7">
        <v>123</v>
      </c>
      <c r="M69" s="7">
        <v>138</v>
      </c>
      <c r="N69" s="83">
        <v>78</v>
      </c>
      <c r="O69" s="7">
        <v>113</v>
      </c>
      <c r="P69" s="7">
        <v>572</v>
      </c>
      <c r="Q69" s="7">
        <v>703</v>
      </c>
      <c r="R69" s="7">
        <v>383</v>
      </c>
      <c r="S69" s="7">
        <v>1952</v>
      </c>
      <c r="T69" s="7">
        <v>1863</v>
      </c>
      <c r="U69" s="7">
        <v>1961</v>
      </c>
      <c r="V69" s="7">
        <v>2412</v>
      </c>
      <c r="W69" s="7">
        <v>702</v>
      </c>
      <c r="X69" s="7">
        <v>602</v>
      </c>
      <c r="Y69" s="7">
        <v>661</v>
      </c>
      <c r="Z69" s="7">
        <v>526</v>
      </c>
    </row>
    <row r="70" spans="2:26" x14ac:dyDescent="0.25">
      <c r="B70" s="33" t="s">
        <v>170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83">
        <v>0</v>
      </c>
      <c r="O70" s="7">
        <v>546</v>
      </c>
      <c r="P70" s="7">
        <v>583</v>
      </c>
      <c r="Q70" s="7">
        <v>682</v>
      </c>
      <c r="R70" s="7">
        <v>631</v>
      </c>
      <c r="S70" s="7">
        <v>677</v>
      </c>
      <c r="T70" s="7">
        <v>675</v>
      </c>
      <c r="U70" s="7">
        <v>663</v>
      </c>
      <c r="V70" s="7">
        <v>623</v>
      </c>
      <c r="W70" s="7">
        <v>680</v>
      </c>
      <c r="X70" s="7">
        <v>1070</v>
      </c>
      <c r="Y70" s="7">
        <v>1433</v>
      </c>
      <c r="Z70" s="7">
        <v>1221</v>
      </c>
    </row>
    <row r="71" spans="2:26" x14ac:dyDescent="0.25">
      <c r="B71" s="2" t="s">
        <v>17</v>
      </c>
      <c r="C71" s="7">
        <v>2078</v>
      </c>
      <c r="D71" s="7">
        <v>1897</v>
      </c>
      <c r="E71" s="7">
        <v>2046</v>
      </c>
      <c r="F71" s="7">
        <v>1983</v>
      </c>
      <c r="G71" s="7">
        <v>1879</v>
      </c>
      <c r="H71" s="7">
        <v>2007</v>
      </c>
      <c r="I71" s="7">
        <v>1947</v>
      </c>
      <c r="J71" s="7">
        <v>1965</v>
      </c>
      <c r="K71" s="7">
        <v>1957</v>
      </c>
      <c r="L71" s="7">
        <v>2183</v>
      </c>
      <c r="M71" s="7">
        <v>2262</v>
      </c>
      <c r="N71" s="83">
        <v>2194</v>
      </c>
      <c r="O71" s="7">
        <v>2345</v>
      </c>
      <c r="P71" s="7">
        <v>1985</v>
      </c>
      <c r="Q71" s="7">
        <v>1981</v>
      </c>
      <c r="R71" s="7">
        <v>2087</v>
      </c>
      <c r="S71" s="7">
        <v>2357</v>
      </c>
      <c r="T71" s="7">
        <v>2446</v>
      </c>
      <c r="U71" s="7">
        <v>2482</v>
      </c>
      <c r="V71" s="7">
        <v>2373</v>
      </c>
      <c r="W71" s="7">
        <v>2531</v>
      </c>
      <c r="X71" s="7">
        <v>2327</v>
      </c>
      <c r="Y71" s="7">
        <v>2507</v>
      </c>
      <c r="Z71" s="7">
        <v>3824</v>
      </c>
    </row>
    <row r="72" spans="2:26" x14ac:dyDescent="0.25">
      <c r="B72" s="2" t="s">
        <v>18</v>
      </c>
      <c r="C72" s="7">
        <v>129</v>
      </c>
      <c r="D72" s="7">
        <v>129</v>
      </c>
      <c r="E72" s="7">
        <v>93</v>
      </c>
      <c r="F72" s="7">
        <v>22</v>
      </c>
      <c r="G72" s="7">
        <v>35</v>
      </c>
      <c r="H72" s="7">
        <v>25</v>
      </c>
      <c r="I72" s="7">
        <v>25</v>
      </c>
      <c r="J72" s="7">
        <v>25</v>
      </c>
      <c r="K72" s="7">
        <v>28</v>
      </c>
      <c r="L72" s="7">
        <v>21</v>
      </c>
      <c r="M72" s="7">
        <v>20</v>
      </c>
      <c r="N72" s="83">
        <v>136</v>
      </c>
      <c r="O72" s="7">
        <v>20</v>
      </c>
      <c r="P72" s="7">
        <v>37</v>
      </c>
      <c r="Q72" s="7">
        <v>22</v>
      </c>
      <c r="R72" s="7">
        <v>50</v>
      </c>
      <c r="S72" s="7">
        <v>18</v>
      </c>
      <c r="T72" s="7">
        <v>11</v>
      </c>
      <c r="U72" s="7">
        <v>11</v>
      </c>
      <c r="V72" s="7">
        <v>11</v>
      </c>
      <c r="W72" s="7">
        <v>19</v>
      </c>
      <c r="X72" s="7">
        <v>18</v>
      </c>
      <c r="Y72" s="7">
        <v>75</v>
      </c>
      <c r="Z72" s="7">
        <v>75</v>
      </c>
    </row>
    <row r="73" spans="2:26" x14ac:dyDescent="0.25">
      <c r="B73" s="2" t="s">
        <v>39</v>
      </c>
      <c r="C73" s="7">
        <v>2192</v>
      </c>
      <c r="D73" s="7">
        <v>2171</v>
      </c>
      <c r="E73" s="7">
        <v>2234</v>
      </c>
      <c r="F73" s="7">
        <v>2346</v>
      </c>
      <c r="G73" s="7">
        <v>2305</v>
      </c>
      <c r="H73" s="7">
        <v>2359</v>
      </c>
      <c r="I73" s="7">
        <v>2209</v>
      </c>
      <c r="J73" s="7">
        <v>2587</v>
      </c>
      <c r="K73" s="7">
        <v>2685</v>
      </c>
      <c r="L73" s="7">
        <v>2601</v>
      </c>
      <c r="M73" s="7">
        <v>2649</v>
      </c>
      <c r="N73" s="83">
        <v>2595</v>
      </c>
      <c r="O73" s="7">
        <v>2662</v>
      </c>
      <c r="P73" s="7">
        <v>2707</v>
      </c>
      <c r="Q73" s="7">
        <v>2720</v>
      </c>
      <c r="R73" s="7">
        <v>3137</v>
      </c>
      <c r="S73" s="7">
        <v>3451</v>
      </c>
      <c r="T73" s="7">
        <v>3499</v>
      </c>
      <c r="U73" s="7">
        <v>3606</v>
      </c>
      <c r="V73" s="7">
        <v>3586</v>
      </c>
      <c r="W73" s="7">
        <v>3842</v>
      </c>
      <c r="X73" s="7">
        <v>3857</v>
      </c>
      <c r="Y73" s="7">
        <v>3911</v>
      </c>
      <c r="Z73" s="7">
        <v>3751</v>
      </c>
    </row>
    <row r="74" spans="2:26" x14ac:dyDescent="0.25">
      <c r="B74" s="2" t="s">
        <v>33</v>
      </c>
      <c r="C74" s="7">
        <v>1096</v>
      </c>
      <c r="D74" s="7">
        <v>1126</v>
      </c>
      <c r="E74" s="7">
        <v>1124</v>
      </c>
      <c r="F74" s="7">
        <v>1119</v>
      </c>
      <c r="G74" s="7">
        <v>1118</v>
      </c>
      <c r="H74" s="7">
        <v>1068</v>
      </c>
      <c r="I74" s="7">
        <v>1055</v>
      </c>
      <c r="J74" s="7">
        <v>1056</v>
      </c>
      <c r="K74" s="7">
        <v>1064</v>
      </c>
      <c r="L74" s="7">
        <v>1103</v>
      </c>
      <c r="M74" s="7">
        <v>1129</v>
      </c>
      <c r="N74" s="83">
        <v>1106</v>
      </c>
      <c r="O74" s="7">
        <v>1124</v>
      </c>
      <c r="P74" s="7">
        <v>1142</v>
      </c>
      <c r="Q74" s="7">
        <v>1121</v>
      </c>
      <c r="R74" s="7">
        <v>1151</v>
      </c>
      <c r="S74" s="7">
        <v>1159</v>
      </c>
      <c r="T74" s="7">
        <v>1181</v>
      </c>
      <c r="U74" s="7">
        <v>1297</v>
      </c>
      <c r="V74" s="7">
        <v>1400</v>
      </c>
      <c r="W74" s="7">
        <v>1442</v>
      </c>
      <c r="X74" s="7">
        <v>1519</v>
      </c>
      <c r="Y74" s="7">
        <v>1518</v>
      </c>
      <c r="Z74" s="7">
        <v>1692</v>
      </c>
    </row>
    <row r="75" spans="2:26" x14ac:dyDescent="0.25">
      <c r="B75" s="2" t="s">
        <v>40</v>
      </c>
      <c r="C75" s="7">
        <v>288</v>
      </c>
      <c r="D75" s="7">
        <v>260</v>
      </c>
      <c r="E75" s="7">
        <v>263</v>
      </c>
      <c r="F75" s="7">
        <v>317</v>
      </c>
      <c r="G75" s="7">
        <v>313</v>
      </c>
      <c r="H75" s="7">
        <v>325</v>
      </c>
      <c r="I75" s="7">
        <v>321</v>
      </c>
      <c r="J75" s="7">
        <v>317</v>
      </c>
      <c r="K75" s="7">
        <v>332</v>
      </c>
      <c r="L75" s="7">
        <v>373</v>
      </c>
      <c r="M75" s="7">
        <v>363</v>
      </c>
      <c r="N75" s="83">
        <v>319</v>
      </c>
      <c r="O75" s="7">
        <v>324</v>
      </c>
      <c r="P75" s="7">
        <v>299</v>
      </c>
      <c r="Q75" s="7">
        <v>323</v>
      </c>
      <c r="R75" s="7">
        <v>367</v>
      </c>
      <c r="S75" s="7">
        <v>492</v>
      </c>
      <c r="T75" s="7">
        <v>532</v>
      </c>
      <c r="U75" s="7">
        <v>588</v>
      </c>
      <c r="V75" s="7">
        <v>524</v>
      </c>
      <c r="W75" s="7">
        <v>603</v>
      </c>
      <c r="X75" s="7">
        <v>478</v>
      </c>
      <c r="Y75" s="7">
        <v>550</v>
      </c>
      <c r="Z75" s="7">
        <v>563</v>
      </c>
    </row>
    <row r="76" spans="2:26" x14ac:dyDescent="0.25">
      <c r="B76" s="2" t="s">
        <v>205</v>
      </c>
      <c r="C76" s="7">
        <v>44</v>
      </c>
      <c r="D76" s="7">
        <v>24</v>
      </c>
      <c r="E76" s="7">
        <v>19</v>
      </c>
      <c r="F76" s="7">
        <v>10</v>
      </c>
      <c r="G76" s="7">
        <v>5</v>
      </c>
      <c r="H76" s="7">
        <v>29</v>
      </c>
      <c r="I76" s="7">
        <v>57</v>
      </c>
      <c r="J76" s="7">
        <v>207</v>
      </c>
      <c r="K76" s="7">
        <v>182</v>
      </c>
      <c r="L76" s="7">
        <v>176</v>
      </c>
      <c r="M76" s="7">
        <v>156</v>
      </c>
      <c r="N76" s="83">
        <v>161</v>
      </c>
      <c r="O76" s="7">
        <v>128</v>
      </c>
      <c r="P76" s="7">
        <v>92</v>
      </c>
      <c r="Q76" s="7">
        <v>88</v>
      </c>
      <c r="R76" s="7">
        <v>122</v>
      </c>
      <c r="S76" s="7">
        <v>138</v>
      </c>
      <c r="T76" s="7">
        <v>157</v>
      </c>
      <c r="U76" s="7">
        <v>177</v>
      </c>
      <c r="V76" s="7">
        <v>210</v>
      </c>
      <c r="W76" s="7">
        <v>202</v>
      </c>
      <c r="X76" s="7">
        <v>43</v>
      </c>
      <c r="Y76" s="7">
        <v>51</v>
      </c>
      <c r="Z76" s="7">
        <v>3063</v>
      </c>
    </row>
    <row r="77" spans="2:26" x14ac:dyDescent="0.25">
      <c r="B77" s="2" t="s">
        <v>34</v>
      </c>
      <c r="C77" s="7">
        <v>971</v>
      </c>
      <c r="D77" s="7">
        <v>885</v>
      </c>
      <c r="E77" s="7">
        <v>577</v>
      </c>
      <c r="F77" s="7">
        <v>515</v>
      </c>
      <c r="G77" s="7">
        <v>457</v>
      </c>
      <c r="H77" s="7">
        <v>391</v>
      </c>
      <c r="I77" s="7">
        <v>333</v>
      </c>
      <c r="J77" s="7">
        <v>272</v>
      </c>
      <c r="K77" s="7">
        <v>212</v>
      </c>
      <c r="L77" s="7">
        <v>151</v>
      </c>
      <c r="M77" s="7">
        <v>89</v>
      </c>
      <c r="N77" s="83">
        <v>29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7">
        <v>0</v>
      </c>
    </row>
    <row r="78" spans="2:26" x14ac:dyDescent="0.25">
      <c r="B78" s="2" t="s">
        <v>35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628</v>
      </c>
      <c r="J78" s="7">
        <v>630</v>
      </c>
      <c r="K78" s="7">
        <v>638</v>
      </c>
      <c r="L78" s="7">
        <v>696</v>
      </c>
      <c r="M78" s="7">
        <v>699</v>
      </c>
      <c r="N78" s="83">
        <v>650</v>
      </c>
      <c r="O78" s="7">
        <v>649</v>
      </c>
      <c r="P78" s="7">
        <v>612</v>
      </c>
      <c r="Q78" s="7">
        <v>673</v>
      </c>
      <c r="R78" s="7">
        <v>621</v>
      </c>
      <c r="S78" s="7">
        <v>768</v>
      </c>
      <c r="T78" s="7">
        <v>783</v>
      </c>
      <c r="U78" s="7">
        <v>792</v>
      </c>
      <c r="V78" s="7">
        <v>722</v>
      </c>
      <c r="W78" s="7">
        <v>742</v>
      </c>
      <c r="X78" s="7">
        <v>610</v>
      </c>
      <c r="Y78" s="7">
        <v>676</v>
      </c>
      <c r="Z78" s="7">
        <v>637</v>
      </c>
    </row>
    <row r="79" spans="2:26" x14ac:dyDescent="0.25">
      <c r="B79" s="2" t="s">
        <v>36</v>
      </c>
      <c r="C79" s="8">
        <v>240</v>
      </c>
      <c r="D79" s="8">
        <v>250</v>
      </c>
      <c r="E79" s="8">
        <v>564</v>
      </c>
      <c r="F79" s="7">
        <v>1503</v>
      </c>
      <c r="G79" s="7">
        <v>1411</v>
      </c>
      <c r="H79" s="7">
        <v>1409</v>
      </c>
      <c r="I79" s="7">
        <v>635</v>
      </c>
      <c r="J79" s="7">
        <v>656</v>
      </c>
      <c r="K79" s="7">
        <v>633</v>
      </c>
      <c r="L79" s="7">
        <v>647</v>
      </c>
      <c r="M79" s="7">
        <v>834</v>
      </c>
      <c r="N79" s="83">
        <v>924</v>
      </c>
      <c r="O79" s="7">
        <v>868</v>
      </c>
      <c r="P79" s="7">
        <v>806</v>
      </c>
      <c r="Q79" s="7">
        <v>803</v>
      </c>
      <c r="R79" s="7">
        <v>761</v>
      </c>
      <c r="S79" s="7">
        <v>789</v>
      </c>
      <c r="T79" s="7">
        <v>772</v>
      </c>
      <c r="U79" s="7">
        <v>825</v>
      </c>
      <c r="V79" s="7">
        <v>827</v>
      </c>
      <c r="W79" s="7">
        <v>756</v>
      </c>
      <c r="X79" s="7">
        <v>734</v>
      </c>
      <c r="Y79" s="7">
        <v>832</v>
      </c>
      <c r="Z79" s="7">
        <v>841</v>
      </c>
    </row>
    <row r="80" spans="2:26" s="16" customFormat="1" x14ac:dyDescent="0.25">
      <c r="B80" s="1"/>
      <c r="C80" s="14">
        <f t="shared" ref="C80:Q80" si="37">SUM(C68:C79)</f>
        <v>31706</v>
      </c>
      <c r="D80" s="14">
        <f t="shared" si="37"/>
        <v>30000</v>
      </c>
      <c r="E80" s="14">
        <f t="shared" si="37"/>
        <v>31122</v>
      </c>
      <c r="F80" s="14">
        <f t="shared" si="37"/>
        <v>30788</v>
      </c>
      <c r="G80" s="14">
        <f t="shared" si="37"/>
        <v>30449</v>
      </c>
      <c r="H80" s="14">
        <f t="shared" si="37"/>
        <v>31935</v>
      </c>
      <c r="I80" s="14">
        <f t="shared" si="37"/>
        <v>30317</v>
      </c>
      <c r="J80" s="14">
        <f t="shared" si="37"/>
        <v>29855</v>
      </c>
      <c r="K80" s="14">
        <f t="shared" si="37"/>
        <v>29107</v>
      </c>
      <c r="L80" s="14">
        <f t="shared" si="37"/>
        <v>31578</v>
      </c>
      <c r="M80" s="14">
        <f t="shared" si="37"/>
        <v>31099</v>
      </c>
      <c r="N80" s="87">
        <f t="shared" si="37"/>
        <v>27352</v>
      </c>
      <c r="O80" s="14">
        <f t="shared" si="37"/>
        <v>27383</v>
      </c>
      <c r="P80" s="14">
        <f t="shared" si="37"/>
        <v>27028</v>
      </c>
      <c r="Q80" s="14">
        <f t="shared" si="37"/>
        <v>28446</v>
      </c>
      <c r="R80" s="14">
        <v>28111</v>
      </c>
      <c r="S80" s="14">
        <f>SUM(S68:S79)</f>
        <v>36544</v>
      </c>
      <c r="T80" s="14">
        <f>SUM(T68:T79)</f>
        <v>38588</v>
      </c>
      <c r="U80" s="14">
        <f>SUM(U68:U79)</f>
        <v>38154</v>
      </c>
      <c r="V80" s="14">
        <f>SUM(V68:V79)</f>
        <v>36346</v>
      </c>
      <c r="W80" s="14">
        <f>SUM(W68:W79)</f>
        <v>37372</v>
      </c>
      <c r="X80" s="14">
        <f t="shared" ref="X80:Y80" si="38">SUM(X68:X79)</f>
        <v>34685</v>
      </c>
      <c r="Y80" s="14">
        <f t="shared" si="38"/>
        <v>37114</v>
      </c>
      <c r="Z80" s="14">
        <f t="shared" ref="Z80" si="39">SUM(Z68:Z79)</f>
        <v>40594</v>
      </c>
    </row>
    <row r="81" spans="2:26" s="16" customFormat="1" x14ac:dyDescent="0.25">
      <c r="B81" s="1" t="s">
        <v>41</v>
      </c>
      <c r="C81" s="14">
        <f t="shared" ref="C81:Q81" si="40">C66+C80</f>
        <v>40893</v>
      </c>
      <c r="D81" s="14">
        <f t="shared" si="40"/>
        <v>38495</v>
      </c>
      <c r="E81" s="14">
        <f t="shared" si="40"/>
        <v>39217</v>
      </c>
      <c r="F81" s="14">
        <f t="shared" si="40"/>
        <v>40775</v>
      </c>
      <c r="G81" s="14">
        <f t="shared" si="40"/>
        <v>39678</v>
      </c>
      <c r="H81" s="14">
        <f t="shared" si="40"/>
        <v>41770</v>
      </c>
      <c r="I81" s="14">
        <f t="shared" si="40"/>
        <v>40804</v>
      </c>
      <c r="J81" s="14">
        <f t="shared" si="40"/>
        <v>41854</v>
      </c>
      <c r="K81" s="14">
        <f t="shared" si="40"/>
        <v>40401</v>
      </c>
      <c r="L81" s="14">
        <f t="shared" si="40"/>
        <v>40648</v>
      </c>
      <c r="M81" s="14">
        <f t="shared" si="40"/>
        <v>42060</v>
      </c>
      <c r="N81" s="87">
        <f t="shared" si="40"/>
        <v>41587</v>
      </c>
      <c r="O81" s="14">
        <f t="shared" si="40"/>
        <v>37013</v>
      </c>
      <c r="P81" s="14">
        <f t="shared" si="40"/>
        <v>36490</v>
      </c>
      <c r="Q81" s="14">
        <f t="shared" si="40"/>
        <v>37599</v>
      </c>
      <c r="R81" s="14">
        <v>37816</v>
      </c>
      <c r="S81" s="14">
        <f>S66+S80</f>
        <v>47099</v>
      </c>
      <c r="T81" s="14">
        <f>T66+T80</f>
        <v>50828</v>
      </c>
      <c r="U81" s="14">
        <f>U66+U80</f>
        <v>52065</v>
      </c>
      <c r="V81" s="14">
        <f>V66+V80</f>
        <v>49682</v>
      </c>
      <c r="W81" s="14">
        <f>W66+W80</f>
        <v>51152</v>
      </c>
      <c r="X81" s="14">
        <f t="shared" ref="X81:Y81" si="41">X66+X80</f>
        <v>48622</v>
      </c>
      <c r="Y81" s="14">
        <f t="shared" si="41"/>
        <v>52902</v>
      </c>
      <c r="Z81" s="14">
        <f t="shared" ref="Z81" si="42">Z66+Z80</f>
        <v>61070</v>
      </c>
    </row>
    <row r="82" spans="2:26" x14ac:dyDescent="0.25">
      <c r="B82" s="2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83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2:26" x14ac:dyDescent="0.25">
      <c r="B83" s="1" t="s">
        <v>42</v>
      </c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83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2:26" x14ac:dyDescent="0.25">
      <c r="B84" s="2" t="s">
        <v>43</v>
      </c>
      <c r="C84" s="7">
        <v>28656</v>
      </c>
      <c r="D84" s="7">
        <v>28656</v>
      </c>
      <c r="E84" s="7">
        <v>28656</v>
      </c>
      <c r="F84" s="7">
        <v>28656</v>
      </c>
      <c r="G84" s="7">
        <v>28656</v>
      </c>
      <c r="H84" s="7">
        <v>28656</v>
      </c>
      <c r="I84" s="7">
        <v>28656</v>
      </c>
      <c r="J84" s="7">
        <v>28656</v>
      </c>
      <c r="K84" s="7">
        <v>28656</v>
      </c>
      <c r="L84" s="7">
        <v>28656</v>
      </c>
      <c r="M84" s="7">
        <v>28656</v>
      </c>
      <c r="N84" s="83">
        <v>28656</v>
      </c>
      <c r="O84" s="7">
        <v>28656</v>
      </c>
      <c r="P84" s="7">
        <v>28656</v>
      </c>
      <c r="Q84" s="7">
        <v>28656</v>
      </c>
      <c r="R84" s="7">
        <v>28656</v>
      </c>
      <c r="S84" s="7">
        <v>28656</v>
      </c>
      <c r="T84" s="7">
        <v>28656</v>
      </c>
      <c r="U84" s="7">
        <v>28656</v>
      </c>
      <c r="V84" s="7">
        <v>28656</v>
      </c>
      <c r="W84" s="7">
        <v>28656</v>
      </c>
      <c r="X84" s="7">
        <v>28656</v>
      </c>
      <c r="Y84" s="7">
        <v>28656</v>
      </c>
      <c r="Z84" s="7">
        <v>28656</v>
      </c>
    </row>
    <row r="85" spans="2:26" x14ac:dyDescent="0.25">
      <c r="B85" s="2" t="s">
        <v>44</v>
      </c>
      <c r="C85" s="7">
        <v>7436</v>
      </c>
      <c r="D85" s="7">
        <v>7549</v>
      </c>
      <c r="E85" s="7">
        <v>7549</v>
      </c>
      <c r="F85" s="7">
        <v>6254</v>
      </c>
      <c r="G85" s="7">
        <v>6241</v>
      </c>
      <c r="H85" s="7">
        <v>6121</v>
      </c>
      <c r="I85" s="7">
        <v>6119</v>
      </c>
      <c r="J85" s="7">
        <v>6569</v>
      </c>
      <c r="K85" s="7">
        <v>6069</v>
      </c>
      <c r="L85" s="7">
        <v>6181</v>
      </c>
      <c r="M85" s="7">
        <v>5925</v>
      </c>
      <c r="N85" s="83">
        <v>7243</v>
      </c>
      <c r="O85" s="7">
        <v>6048</v>
      </c>
      <c r="P85" s="7">
        <v>6028</v>
      </c>
      <c r="Q85" s="7">
        <v>6028</v>
      </c>
      <c r="R85" s="7">
        <v>11165</v>
      </c>
      <c r="S85" s="7">
        <v>10800</v>
      </c>
      <c r="T85" s="7">
        <v>10800</v>
      </c>
      <c r="U85" s="7">
        <v>11241</v>
      </c>
      <c r="V85" s="7">
        <v>8806</v>
      </c>
      <c r="W85" s="7">
        <v>8806</v>
      </c>
      <c r="X85" s="7">
        <v>8806</v>
      </c>
      <c r="Y85" s="7">
        <v>8806</v>
      </c>
      <c r="Z85" s="7">
        <v>14740</v>
      </c>
    </row>
    <row r="86" spans="2:26" x14ac:dyDescent="0.25">
      <c r="B86" s="33" t="s">
        <v>124</v>
      </c>
      <c r="C86" s="7">
        <v>148</v>
      </c>
      <c r="D86" s="7">
        <v>402</v>
      </c>
      <c r="E86" s="7">
        <v>505</v>
      </c>
      <c r="F86" s="7">
        <v>0</v>
      </c>
      <c r="G86" s="18">
        <v>-573</v>
      </c>
      <c r="H86" s="7">
        <v>10</v>
      </c>
      <c r="I86" s="7">
        <v>479</v>
      </c>
      <c r="J86" s="7">
        <v>0</v>
      </c>
      <c r="K86" s="18">
        <v>-322</v>
      </c>
      <c r="L86" s="18">
        <v>-228</v>
      </c>
      <c r="M86" s="18">
        <v>-44</v>
      </c>
      <c r="N86" s="83">
        <v>0</v>
      </c>
      <c r="O86" s="7">
        <v>4388</v>
      </c>
      <c r="P86" s="63">
        <v>4577</v>
      </c>
      <c r="Q86" s="7">
        <v>4487</v>
      </c>
      <c r="R86" s="7">
        <v>0</v>
      </c>
      <c r="S86" s="7">
        <v>-2189</v>
      </c>
      <c r="T86" s="7">
        <v>-2611</v>
      </c>
      <c r="U86" s="7">
        <v>-2877</v>
      </c>
      <c r="V86" s="7">
        <v>0</v>
      </c>
      <c r="W86" s="7">
        <v>519</v>
      </c>
      <c r="X86" s="7">
        <v>2461</v>
      </c>
      <c r="Y86" s="7">
        <v>3478</v>
      </c>
      <c r="Z86" s="7">
        <v>0</v>
      </c>
    </row>
    <row r="87" spans="2:26" x14ac:dyDescent="0.25">
      <c r="B87" s="2" t="s">
        <v>45</v>
      </c>
      <c r="C87" s="7">
        <v>1962</v>
      </c>
      <c r="D87" s="7">
        <v>1157</v>
      </c>
      <c r="E87" s="7">
        <v>1247</v>
      </c>
      <c r="F87" s="7">
        <v>1255</v>
      </c>
      <c r="G87" s="7">
        <v>831</v>
      </c>
      <c r="H87" s="7">
        <v>1412</v>
      </c>
      <c r="I87" s="7">
        <v>931</v>
      </c>
      <c r="J87" s="7">
        <v>733</v>
      </c>
      <c r="K87" s="7">
        <v>873</v>
      </c>
      <c r="L87" s="7">
        <v>1771</v>
      </c>
      <c r="M87" s="7">
        <v>1765</v>
      </c>
      <c r="N87" s="83">
        <v>1937</v>
      </c>
      <c r="O87" s="7">
        <v>1907</v>
      </c>
      <c r="P87" s="7">
        <v>1009</v>
      </c>
      <c r="Q87" s="7">
        <v>1604</v>
      </c>
      <c r="R87" s="7">
        <v>1948</v>
      </c>
      <c r="S87" s="7">
        <v>4364</v>
      </c>
      <c r="T87" s="7">
        <v>5140</v>
      </c>
      <c r="U87" s="7">
        <v>5781</v>
      </c>
      <c r="V87" s="7">
        <v>4879</v>
      </c>
      <c r="W87" s="7">
        <v>6281</v>
      </c>
      <c r="X87" s="7">
        <v>5711</v>
      </c>
      <c r="Y87" s="7">
        <v>7409</v>
      </c>
      <c r="Z87" s="7">
        <v>6518</v>
      </c>
    </row>
    <row r="88" spans="2:26" s="16" customFormat="1" x14ac:dyDescent="0.25">
      <c r="B88" s="1" t="s">
        <v>46</v>
      </c>
      <c r="C88" s="17">
        <f t="shared" ref="C88:O88" si="43">SUM(C84:C87)</f>
        <v>38202</v>
      </c>
      <c r="D88" s="17">
        <f t="shared" si="43"/>
        <v>37764</v>
      </c>
      <c r="E88" s="17">
        <f t="shared" si="43"/>
        <v>37957</v>
      </c>
      <c r="F88" s="17">
        <f t="shared" si="43"/>
        <v>36165</v>
      </c>
      <c r="G88" s="17">
        <f t="shared" si="43"/>
        <v>35155</v>
      </c>
      <c r="H88" s="17">
        <f t="shared" si="43"/>
        <v>36199</v>
      </c>
      <c r="I88" s="17">
        <f t="shared" si="43"/>
        <v>36185</v>
      </c>
      <c r="J88" s="17">
        <f t="shared" si="43"/>
        <v>35958</v>
      </c>
      <c r="K88" s="17">
        <f t="shared" si="43"/>
        <v>35276</v>
      </c>
      <c r="L88" s="17">
        <f t="shared" si="43"/>
        <v>36380</v>
      </c>
      <c r="M88" s="17">
        <f t="shared" si="43"/>
        <v>36302</v>
      </c>
      <c r="N88" s="90">
        <f t="shared" si="43"/>
        <v>37836</v>
      </c>
      <c r="O88" s="17">
        <f t="shared" si="43"/>
        <v>40999</v>
      </c>
      <c r="P88" s="17">
        <f>SUM(P84:P87)</f>
        <v>40270</v>
      </c>
      <c r="Q88" s="17">
        <f t="shared" ref="Q88:T88" si="44">SUM(Q84:Q87)</f>
        <v>40775</v>
      </c>
      <c r="R88" s="17">
        <v>41769</v>
      </c>
      <c r="S88" s="17">
        <f t="shared" si="44"/>
        <v>41631</v>
      </c>
      <c r="T88" s="17">
        <f t="shared" si="44"/>
        <v>41985</v>
      </c>
      <c r="U88" s="17">
        <f t="shared" ref="U88:V88" si="45">SUM(U84:U87)</f>
        <v>42801</v>
      </c>
      <c r="V88" s="17">
        <f t="shared" si="45"/>
        <v>42341</v>
      </c>
      <c r="W88" s="17">
        <f t="shared" ref="W88" si="46">SUM(W84:W87)</f>
        <v>44262</v>
      </c>
      <c r="X88" s="17">
        <f t="shared" ref="X88:Y88" si="47">SUM(X84:X87)</f>
        <v>45634</v>
      </c>
      <c r="Y88" s="17">
        <f t="shared" si="47"/>
        <v>48349</v>
      </c>
      <c r="Z88" s="17">
        <f t="shared" ref="Z88" si="48">SUM(Z84:Z87)</f>
        <v>49914</v>
      </c>
    </row>
    <row r="89" spans="2:26" x14ac:dyDescent="0.25">
      <c r="B89" s="2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83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2:26" x14ac:dyDescent="0.25">
      <c r="B90" s="2" t="s">
        <v>133</v>
      </c>
      <c r="C90" s="7">
        <v>3772</v>
      </c>
      <c r="D90" s="7">
        <v>2896</v>
      </c>
      <c r="E90" s="7">
        <v>2984</v>
      </c>
      <c r="F90" s="7">
        <v>2658</v>
      </c>
      <c r="G90" s="7">
        <v>2680</v>
      </c>
      <c r="H90" s="7">
        <v>2719</v>
      </c>
      <c r="I90" s="7">
        <v>2442</v>
      </c>
      <c r="J90" s="7">
        <v>4857</v>
      </c>
      <c r="K90" s="7">
        <v>4890</v>
      </c>
      <c r="L90" s="7">
        <v>5550</v>
      </c>
      <c r="M90" s="7">
        <v>5759</v>
      </c>
      <c r="N90" s="83">
        <v>5623</v>
      </c>
      <c r="O90" s="7">
        <v>5505</v>
      </c>
      <c r="P90" s="7">
        <v>5392</v>
      </c>
      <c r="Q90" s="7">
        <v>5563</v>
      </c>
      <c r="R90" s="7">
        <v>5138</v>
      </c>
      <c r="S90" s="7">
        <v>4791</v>
      </c>
      <c r="T90" s="7">
        <v>4688</v>
      </c>
      <c r="U90" s="7">
        <v>4743</v>
      </c>
      <c r="V90" s="7">
        <v>4455</v>
      </c>
      <c r="W90" s="7">
        <v>4793</v>
      </c>
      <c r="X90" s="7">
        <v>5818</v>
      </c>
      <c r="Y90" s="7">
        <v>7243</v>
      </c>
      <c r="Z90" s="7">
        <v>7374</v>
      </c>
    </row>
    <row r="91" spans="2:26" x14ac:dyDescent="0.25">
      <c r="B91" s="2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83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2:26" s="16" customFormat="1" x14ac:dyDescent="0.25">
      <c r="B92" s="1" t="s">
        <v>47</v>
      </c>
      <c r="C92" s="14">
        <f t="shared" ref="C92:O92" si="49">C88+C90</f>
        <v>41974</v>
      </c>
      <c r="D92" s="14">
        <f t="shared" si="49"/>
        <v>40660</v>
      </c>
      <c r="E92" s="14">
        <f t="shared" si="49"/>
        <v>40941</v>
      </c>
      <c r="F92" s="14">
        <f t="shared" si="49"/>
        <v>38823</v>
      </c>
      <c r="G92" s="14">
        <f t="shared" si="49"/>
        <v>37835</v>
      </c>
      <c r="H92" s="14">
        <f t="shared" si="49"/>
        <v>38918</v>
      </c>
      <c r="I92" s="14">
        <f t="shared" si="49"/>
        <v>38627</v>
      </c>
      <c r="J92" s="14">
        <f t="shared" si="49"/>
        <v>40815</v>
      </c>
      <c r="K92" s="14">
        <f t="shared" si="49"/>
        <v>40166</v>
      </c>
      <c r="L92" s="14">
        <f t="shared" si="49"/>
        <v>41930</v>
      </c>
      <c r="M92" s="14">
        <f t="shared" si="49"/>
        <v>42061</v>
      </c>
      <c r="N92" s="87">
        <f t="shared" si="49"/>
        <v>43459</v>
      </c>
      <c r="O92" s="14">
        <f t="shared" si="49"/>
        <v>46504</v>
      </c>
      <c r="P92" s="14">
        <f>P88+P90</f>
        <v>45662</v>
      </c>
      <c r="Q92" s="14">
        <f t="shared" ref="Q92:T92" si="50">Q88+Q90</f>
        <v>46338</v>
      </c>
      <c r="R92" s="14">
        <v>46907</v>
      </c>
      <c r="S92" s="14">
        <f t="shared" si="50"/>
        <v>46422</v>
      </c>
      <c r="T92" s="14">
        <f t="shared" si="50"/>
        <v>46673</v>
      </c>
      <c r="U92" s="14">
        <f t="shared" ref="U92:V92" si="51">U88+U90</f>
        <v>47544</v>
      </c>
      <c r="V92" s="14">
        <f t="shared" si="51"/>
        <v>46796</v>
      </c>
      <c r="W92" s="14">
        <f t="shared" ref="W92:Y92" si="52">W88+W90</f>
        <v>49055</v>
      </c>
      <c r="X92" s="14">
        <f t="shared" si="52"/>
        <v>51452</v>
      </c>
      <c r="Y92" s="14">
        <f t="shared" si="52"/>
        <v>55592</v>
      </c>
      <c r="Z92" s="14">
        <f t="shared" ref="Z92" si="53">Z88+Z90</f>
        <v>57288</v>
      </c>
    </row>
    <row r="93" spans="2:26" x14ac:dyDescent="0.25">
      <c r="B93" s="2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83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2:26" s="16" customFormat="1" ht="14.95" thickBot="1" x14ac:dyDescent="0.3">
      <c r="B94" s="1" t="s">
        <v>48</v>
      </c>
      <c r="C94" s="15">
        <f t="shared" ref="C94:O94" si="54">C92+C81</f>
        <v>82867</v>
      </c>
      <c r="D94" s="15">
        <f t="shared" si="54"/>
        <v>79155</v>
      </c>
      <c r="E94" s="15">
        <f t="shared" si="54"/>
        <v>80158</v>
      </c>
      <c r="F94" s="15">
        <f t="shared" si="54"/>
        <v>79598</v>
      </c>
      <c r="G94" s="15">
        <f t="shared" si="54"/>
        <v>77513</v>
      </c>
      <c r="H94" s="15">
        <f t="shared" si="54"/>
        <v>80688</v>
      </c>
      <c r="I94" s="15">
        <f t="shared" si="54"/>
        <v>79431</v>
      </c>
      <c r="J94" s="15">
        <f t="shared" si="54"/>
        <v>82669</v>
      </c>
      <c r="K94" s="15">
        <f t="shared" si="54"/>
        <v>80567</v>
      </c>
      <c r="L94" s="15">
        <f t="shared" si="54"/>
        <v>82578</v>
      </c>
      <c r="M94" s="15">
        <f t="shared" si="54"/>
        <v>84121</v>
      </c>
      <c r="N94" s="89">
        <f t="shared" si="54"/>
        <v>85046</v>
      </c>
      <c r="O94" s="15">
        <f t="shared" si="54"/>
        <v>83517</v>
      </c>
      <c r="P94" s="15">
        <f>P92+P81</f>
        <v>82152</v>
      </c>
      <c r="Q94" s="15">
        <f t="shared" ref="Q94:T94" si="55">Q92+Q81</f>
        <v>83937</v>
      </c>
      <c r="R94" s="15">
        <v>84723</v>
      </c>
      <c r="S94" s="15">
        <f t="shared" si="55"/>
        <v>93521</v>
      </c>
      <c r="T94" s="15">
        <f t="shared" si="55"/>
        <v>97501</v>
      </c>
      <c r="U94" s="15">
        <f t="shared" ref="U94:V94" si="56">U92+U81</f>
        <v>99609</v>
      </c>
      <c r="V94" s="15">
        <f t="shared" si="56"/>
        <v>96478</v>
      </c>
      <c r="W94" s="15">
        <f t="shared" ref="W94:Y94" si="57">W92+W81</f>
        <v>100207</v>
      </c>
      <c r="X94" s="15">
        <f t="shared" si="57"/>
        <v>100074</v>
      </c>
      <c r="Y94" s="15">
        <f t="shared" si="57"/>
        <v>108494</v>
      </c>
      <c r="Z94" s="15">
        <f t="shared" ref="Z94" si="58">Z92+Z81</f>
        <v>118358</v>
      </c>
    </row>
    <row r="95" spans="2:26" ht="14.95" thickTop="1" x14ac:dyDescent="0.25"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83"/>
    </row>
    <row r="96" spans="2:26" x14ac:dyDescent="0.25"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83"/>
    </row>
    <row r="97" spans="3:14" x14ac:dyDescent="0.25"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83"/>
    </row>
    <row r="98" spans="3:14" x14ac:dyDescent="0.25"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83"/>
    </row>
    <row r="99" spans="3:14" x14ac:dyDescent="0.25"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83"/>
    </row>
    <row r="100" spans="3:14" x14ac:dyDescent="0.25"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83"/>
    </row>
    <row r="101" spans="3:14" x14ac:dyDescent="0.25"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83"/>
    </row>
    <row r="102" spans="3:14" x14ac:dyDescent="0.25"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83"/>
    </row>
    <row r="103" spans="3:14" x14ac:dyDescent="0.25"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83"/>
    </row>
    <row r="104" spans="3:14" x14ac:dyDescent="0.25"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83"/>
    </row>
    <row r="105" spans="3:14" x14ac:dyDescent="0.25"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83"/>
    </row>
    <row r="106" spans="3:14" x14ac:dyDescent="0.25"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83"/>
    </row>
    <row r="107" spans="3:14" x14ac:dyDescent="0.25"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83"/>
    </row>
    <row r="108" spans="3:14" x14ac:dyDescent="0.25"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83"/>
    </row>
    <row r="109" spans="3:14" x14ac:dyDescent="0.25"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83"/>
    </row>
    <row r="110" spans="3:14" x14ac:dyDescent="0.25"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83"/>
    </row>
    <row r="111" spans="3:14" x14ac:dyDescent="0.25"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83"/>
    </row>
    <row r="112" spans="3:14" x14ac:dyDescent="0.25"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83"/>
    </row>
    <row r="113" spans="3:14" x14ac:dyDescent="0.25"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83"/>
    </row>
    <row r="114" spans="3:14" x14ac:dyDescent="0.25"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83"/>
    </row>
    <row r="115" spans="3:14" x14ac:dyDescent="0.25"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83"/>
    </row>
    <row r="116" spans="3:14" x14ac:dyDescent="0.25"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83"/>
    </row>
    <row r="117" spans="3:14" x14ac:dyDescent="0.25"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83"/>
    </row>
    <row r="118" spans="3:14" x14ac:dyDescent="0.25"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83"/>
    </row>
    <row r="119" spans="3:14" x14ac:dyDescent="0.25"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83"/>
    </row>
    <row r="120" spans="3:14" x14ac:dyDescent="0.25"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83"/>
    </row>
    <row r="121" spans="3:14" x14ac:dyDescent="0.25"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</row>
  </sheetData>
  <mergeCells count="6">
    <mergeCell ref="W4:Z5"/>
    <mergeCell ref="C4:F5"/>
    <mergeCell ref="G4:J5"/>
    <mergeCell ref="K4:N5"/>
    <mergeCell ref="O4:R5"/>
    <mergeCell ref="S4:V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C4 G4 K4 O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AF53"/>
  <sheetViews>
    <sheetView showGridLines="0" zoomScale="85" zoomScaleNormal="85" workbookViewId="0">
      <pane xSplit="2" ySplit="6" topLeftCell="C7" activePane="bottomRight" state="frozen"/>
      <selection activeCell="E24" sqref="E24"/>
      <selection pane="topRight" activeCell="E24" sqref="E24"/>
      <selection pane="bottomLeft" activeCell="E24" sqref="E24"/>
      <selection pane="bottomRight"/>
    </sheetView>
  </sheetViews>
  <sheetFormatPr defaultRowHeight="14.3" x14ac:dyDescent="0.25"/>
  <cols>
    <col min="1" max="1" width="3.375" customWidth="1"/>
    <col min="2" max="2" width="83.375" bestFit="1" customWidth="1"/>
    <col min="3" max="32" width="18" customWidth="1"/>
  </cols>
  <sheetData>
    <row r="4" spans="2:32" ht="14.95" customHeight="1" x14ac:dyDescent="0.25">
      <c r="B4" s="3"/>
      <c r="C4" s="149" t="s">
        <v>0</v>
      </c>
      <c r="D4" s="149"/>
      <c r="E4" s="149"/>
      <c r="F4" s="149"/>
      <c r="G4" s="149"/>
      <c r="H4" s="150" t="s">
        <v>1</v>
      </c>
      <c r="I4" s="150"/>
      <c r="J4" s="150"/>
      <c r="K4" s="150"/>
      <c r="L4" s="150"/>
      <c r="M4" s="150" t="s">
        <v>2</v>
      </c>
      <c r="N4" s="150"/>
      <c r="O4" s="150"/>
      <c r="P4" s="150"/>
      <c r="Q4" s="150"/>
      <c r="R4" s="148">
        <v>2019</v>
      </c>
      <c r="S4" s="148"/>
      <c r="T4" s="148"/>
      <c r="U4" s="148"/>
      <c r="V4" s="148"/>
      <c r="W4" s="148">
        <v>2020</v>
      </c>
      <c r="X4" s="148"/>
      <c r="Y4" s="148"/>
      <c r="Z4" s="148"/>
      <c r="AA4" s="148"/>
      <c r="AB4" s="148">
        <v>2021</v>
      </c>
      <c r="AC4" s="148"/>
      <c r="AD4" s="148"/>
      <c r="AE4" s="148"/>
      <c r="AF4" s="148"/>
    </row>
    <row r="5" spans="2:32" ht="15.65" x14ac:dyDescent="0.25">
      <c r="B5" s="4" t="s">
        <v>166</v>
      </c>
      <c r="C5" s="149"/>
      <c r="D5" s="149"/>
      <c r="E5" s="149"/>
      <c r="F5" s="149"/>
      <c r="G5" s="149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</row>
    <row r="6" spans="2:32" ht="17.7" x14ac:dyDescent="0.25">
      <c r="B6" s="4" t="s">
        <v>132</v>
      </c>
      <c r="C6" s="42" t="s">
        <v>134</v>
      </c>
      <c r="D6" s="42" t="s">
        <v>135</v>
      </c>
      <c r="E6" s="42" t="s">
        <v>136</v>
      </c>
      <c r="F6" s="42" t="s">
        <v>137</v>
      </c>
      <c r="G6" s="42" t="s">
        <v>0</v>
      </c>
      <c r="H6" s="42" t="s">
        <v>138</v>
      </c>
      <c r="I6" s="42" t="s">
        <v>139</v>
      </c>
      <c r="J6" s="42" t="s">
        <v>140</v>
      </c>
      <c r="K6" s="42" t="s">
        <v>141</v>
      </c>
      <c r="L6" s="42" t="s">
        <v>1</v>
      </c>
      <c r="M6" s="42" t="s">
        <v>142</v>
      </c>
      <c r="N6" s="42" t="s">
        <v>143</v>
      </c>
      <c r="O6" s="42" t="s">
        <v>144</v>
      </c>
      <c r="P6" s="42" t="s">
        <v>145</v>
      </c>
      <c r="Q6" s="91" t="s">
        <v>2</v>
      </c>
      <c r="R6" s="6" t="s">
        <v>171</v>
      </c>
      <c r="S6" s="6" t="s">
        <v>172</v>
      </c>
      <c r="T6" s="6" t="s">
        <v>180</v>
      </c>
      <c r="U6" s="6" t="s">
        <v>198</v>
      </c>
      <c r="V6" s="91" t="s">
        <v>199</v>
      </c>
      <c r="W6" s="6" t="s">
        <v>218</v>
      </c>
      <c r="X6" s="6" t="s">
        <v>219</v>
      </c>
      <c r="Y6" s="6" t="s">
        <v>220</v>
      </c>
      <c r="Z6" s="6" t="s">
        <v>221</v>
      </c>
      <c r="AA6" s="91" t="s">
        <v>196</v>
      </c>
      <c r="AB6" s="6" t="s">
        <v>222</v>
      </c>
      <c r="AC6" s="6" t="s">
        <v>223</v>
      </c>
      <c r="AD6" s="6" t="s">
        <v>224</v>
      </c>
      <c r="AE6" s="145" t="s">
        <v>225</v>
      </c>
      <c r="AF6" s="43">
        <v>2021</v>
      </c>
    </row>
    <row r="7" spans="2:32" x14ac:dyDescent="0.25">
      <c r="B7" s="12" t="s">
        <v>49</v>
      </c>
      <c r="G7" s="44"/>
      <c r="L7" s="44"/>
      <c r="Q7" s="62"/>
      <c r="V7" s="62"/>
      <c r="AA7" s="62"/>
      <c r="AF7" s="62"/>
    </row>
    <row r="8" spans="2:32" x14ac:dyDescent="0.25">
      <c r="B8" s="2" t="s">
        <v>50</v>
      </c>
      <c r="C8" s="7">
        <v>6246</v>
      </c>
      <c r="D8" s="7">
        <f>13283-C8</f>
        <v>7037</v>
      </c>
      <c r="E8" s="7">
        <f>19616-D8-C8</f>
        <v>6333</v>
      </c>
      <c r="F8" s="7">
        <f>G8-E8-D8-C8</f>
        <v>6349</v>
      </c>
      <c r="G8" s="45">
        <v>25965</v>
      </c>
      <c r="H8" s="7">
        <v>5662</v>
      </c>
      <c r="I8" s="7">
        <f>12357-H8</f>
        <v>6695</v>
      </c>
      <c r="J8" s="7">
        <f>19646-I8-H8</f>
        <v>7289</v>
      </c>
      <c r="K8" s="7">
        <f>L8-J8-I8-H8</f>
        <v>7153</v>
      </c>
      <c r="L8" s="45">
        <v>26799</v>
      </c>
      <c r="M8" s="7">
        <v>6416</v>
      </c>
      <c r="N8" s="7">
        <v>7799</v>
      </c>
      <c r="O8" s="7">
        <v>8647</v>
      </c>
      <c r="P8" s="7">
        <f>Q8-O8-N8-M8</f>
        <v>8069</v>
      </c>
      <c r="Q8" s="45">
        <v>30931</v>
      </c>
      <c r="R8" s="7">
        <v>6720</v>
      </c>
      <c r="S8" s="7">
        <v>7853</v>
      </c>
      <c r="T8" s="67">
        <v>8268</v>
      </c>
      <c r="U8" s="67">
        <f>V8-SUM(R8:T8)</f>
        <v>8066</v>
      </c>
      <c r="V8" s="92">
        <v>30907</v>
      </c>
      <c r="W8" s="130">
        <v>6594</v>
      </c>
      <c r="X8" s="130">
        <v>7369</v>
      </c>
      <c r="Y8" s="130">
        <v>10297</v>
      </c>
      <c r="Z8" s="67">
        <v>11123</v>
      </c>
      <c r="AA8" s="92">
        <v>35383</v>
      </c>
      <c r="AB8" s="67">
        <v>9820</v>
      </c>
      <c r="AC8" s="67">
        <v>12243</v>
      </c>
      <c r="AD8" s="67">
        <v>13388</v>
      </c>
      <c r="AE8" s="67">
        <v>13557</v>
      </c>
      <c r="AF8" s="92">
        <v>49008</v>
      </c>
    </row>
    <row r="9" spans="2:32" x14ac:dyDescent="0.25">
      <c r="B9" s="2" t="s">
        <v>51</v>
      </c>
      <c r="C9" s="19">
        <v>-5096</v>
      </c>
      <c r="D9" s="19">
        <f>-10454-C9</f>
        <v>-5358</v>
      </c>
      <c r="E9" s="19">
        <f>-15123-D9-C9</f>
        <v>-4669</v>
      </c>
      <c r="F9" s="19">
        <f>G9-E9-D9-C9</f>
        <v>-4887</v>
      </c>
      <c r="G9" s="46">
        <v>-20010</v>
      </c>
      <c r="H9" s="19">
        <v>-4697</v>
      </c>
      <c r="I9" s="19">
        <f>-10118-H9</f>
        <v>-5421</v>
      </c>
      <c r="J9" s="19">
        <f>-15710-I9-H9</f>
        <v>-5592</v>
      </c>
      <c r="K9" s="19">
        <f>L9-J9-I9-H9</f>
        <v>-5461</v>
      </c>
      <c r="L9" s="46">
        <v>-21171</v>
      </c>
      <c r="M9" s="19">
        <v>-5214</v>
      </c>
      <c r="N9" s="19">
        <v>-6218</v>
      </c>
      <c r="O9" s="19">
        <v>-6941</v>
      </c>
      <c r="P9" s="19">
        <f>Q9-O9-N9-M9</f>
        <v>-6656</v>
      </c>
      <c r="Q9" s="46">
        <v>-25029</v>
      </c>
      <c r="R9" s="19">
        <v>-5838</v>
      </c>
      <c r="S9" s="19">
        <v>-6435</v>
      </c>
      <c r="T9" s="68">
        <v>-6930</v>
      </c>
      <c r="U9" s="68">
        <f t="shared" ref="U9" si="0">V9-SUM(R9:T9)</f>
        <v>-6609</v>
      </c>
      <c r="V9" s="93">
        <v>-25812</v>
      </c>
      <c r="W9" s="131">
        <v>-5846</v>
      </c>
      <c r="X9" s="131">
        <v>-6349</v>
      </c>
      <c r="Y9" s="131">
        <v>-7734</v>
      </c>
      <c r="Z9" s="68">
        <v>-8495</v>
      </c>
      <c r="AA9" s="93">
        <v>-28424</v>
      </c>
      <c r="AB9" s="68">
        <v>-7328</v>
      </c>
      <c r="AC9" s="68">
        <v>-9077</v>
      </c>
      <c r="AD9" s="68">
        <v>-10458</v>
      </c>
      <c r="AE9" s="68">
        <v>-11071</v>
      </c>
      <c r="AF9" s="93">
        <v>-37934</v>
      </c>
    </row>
    <row r="10" spans="2:32" x14ac:dyDescent="0.25">
      <c r="B10" s="12" t="s">
        <v>52</v>
      </c>
      <c r="C10" s="13">
        <f t="shared" ref="C10:R10" si="1">SUM(C8:C9)</f>
        <v>1150</v>
      </c>
      <c r="D10" s="13">
        <f t="shared" si="1"/>
        <v>1679</v>
      </c>
      <c r="E10" s="13">
        <f t="shared" si="1"/>
        <v>1664</v>
      </c>
      <c r="F10" s="13">
        <f t="shared" si="1"/>
        <v>1462</v>
      </c>
      <c r="G10" s="47">
        <f t="shared" si="1"/>
        <v>5955</v>
      </c>
      <c r="H10" s="13">
        <f t="shared" si="1"/>
        <v>965</v>
      </c>
      <c r="I10" s="13">
        <f t="shared" si="1"/>
        <v>1274</v>
      </c>
      <c r="J10" s="13">
        <f t="shared" si="1"/>
        <v>1697</v>
      </c>
      <c r="K10" s="13">
        <f t="shared" si="1"/>
        <v>1692</v>
      </c>
      <c r="L10" s="47">
        <f t="shared" si="1"/>
        <v>5628</v>
      </c>
      <c r="M10" s="13">
        <f t="shared" si="1"/>
        <v>1202</v>
      </c>
      <c r="N10" s="13">
        <f t="shared" si="1"/>
        <v>1581</v>
      </c>
      <c r="O10" s="13">
        <f t="shared" si="1"/>
        <v>1706</v>
      </c>
      <c r="P10" s="13">
        <f t="shared" si="1"/>
        <v>1413</v>
      </c>
      <c r="Q10" s="47">
        <f t="shared" ref="Q10" si="2">SUM(Q8:Q9)</f>
        <v>5902</v>
      </c>
      <c r="R10" s="13">
        <f t="shared" si="1"/>
        <v>882</v>
      </c>
      <c r="S10" s="13">
        <v>1418</v>
      </c>
      <c r="T10" s="69">
        <f t="shared" ref="T10" si="3">SUM(T8:T9)</f>
        <v>1338</v>
      </c>
      <c r="U10" s="69">
        <f t="shared" ref="U10:V10" si="4">SUM(U8:U9)</f>
        <v>1457</v>
      </c>
      <c r="V10" s="94">
        <f t="shared" si="4"/>
        <v>5095</v>
      </c>
      <c r="W10" s="146">
        <f t="shared" ref="W10:AE10" si="5">SUM(W8:W9)</f>
        <v>748</v>
      </c>
      <c r="X10" s="146">
        <f t="shared" si="5"/>
        <v>1020</v>
      </c>
      <c r="Y10" s="146">
        <f t="shared" si="5"/>
        <v>2563</v>
      </c>
      <c r="Z10" s="76">
        <f t="shared" si="5"/>
        <v>2628</v>
      </c>
      <c r="AA10" s="140">
        <f t="shared" si="5"/>
        <v>6959</v>
      </c>
      <c r="AB10" s="76">
        <f t="shared" si="5"/>
        <v>2492</v>
      </c>
      <c r="AC10" s="76">
        <f t="shared" si="5"/>
        <v>3166</v>
      </c>
      <c r="AD10" s="76">
        <f t="shared" si="5"/>
        <v>2930</v>
      </c>
      <c r="AE10" s="76">
        <f t="shared" si="5"/>
        <v>2486</v>
      </c>
      <c r="AF10" s="140">
        <v>11074</v>
      </c>
    </row>
    <row r="11" spans="2:32" x14ac:dyDescent="0.25">
      <c r="B11" s="2"/>
      <c r="C11" s="7"/>
      <c r="D11" s="7"/>
      <c r="E11" s="7"/>
      <c r="F11" s="7"/>
      <c r="G11" s="45"/>
      <c r="H11" s="7"/>
      <c r="I11" s="7"/>
      <c r="J11" s="7"/>
      <c r="K11" s="7"/>
      <c r="L11" s="45"/>
      <c r="M11" s="7"/>
      <c r="N11" s="7"/>
      <c r="O11" s="7"/>
      <c r="P11" s="7"/>
      <c r="Q11" s="45"/>
      <c r="R11" s="7"/>
      <c r="S11" s="7"/>
      <c r="T11" s="67"/>
      <c r="U11" s="67"/>
      <c r="V11" s="92"/>
      <c r="W11" s="130"/>
      <c r="X11" s="130"/>
      <c r="Y11" s="130"/>
      <c r="Z11" s="67"/>
      <c r="AA11" s="92"/>
      <c r="AB11" s="67"/>
      <c r="AC11" s="67"/>
      <c r="AD11" s="67"/>
      <c r="AE11" s="67"/>
      <c r="AF11" s="92"/>
    </row>
    <row r="12" spans="2:32" x14ac:dyDescent="0.25">
      <c r="B12" s="1" t="s">
        <v>53</v>
      </c>
      <c r="C12" s="7"/>
      <c r="D12" s="7"/>
      <c r="E12" s="7"/>
      <c r="F12" s="7"/>
      <c r="G12" s="45"/>
      <c r="H12" s="7"/>
      <c r="I12" s="7"/>
      <c r="J12" s="7"/>
      <c r="K12" s="7"/>
      <c r="L12" s="45"/>
      <c r="M12" s="7"/>
      <c r="N12" s="7"/>
      <c r="O12" s="7"/>
      <c r="P12" s="7"/>
      <c r="Q12" s="45"/>
      <c r="R12" s="7"/>
      <c r="S12" s="7"/>
      <c r="T12" s="67"/>
      <c r="U12" s="67"/>
      <c r="V12" s="92"/>
      <c r="W12" s="130"/>
      <c r="X12" s="130"/>
      <c r="Y12" s="130"/>
      <c r="Z12" s="67"/>
      <c r="AA12" s="92"/>
      <c r="AB12" s="67"/>
      <c r="AC12" s="67"/>
      <c r="AD12" s="67"/>
      <c r="AE12" s="67"/>
      <c r="AF12" s="92"/>
    </row>
    <row r="13" spans="2:32" x14ac:dyDescent="0.25">
      <c r="B13" s="2" t="s">
        <v>54</v>
      </c>
      <c r="C13" s="20">
        <v>-415</v>
      </c>
      <c r="D13" s="20">
        <f>-838-C13</f>
        <v>-423</v>
      </c>
      <c r="E13" s="20">
        <f>-1225-D13-C13</f>
        <v>-387</v>
      </c>
      <c r="F13" s="20">
        <f t="shared" ref="F13:F15" si="6">G13-E13-D13-C13</f>
        <v>-414</v>
      </c>
      <c r="G13" s="48">
        <v>-1639</v>
      </c>
      <c r="H13" s="20">
        <v>-155</v>
      </c>
      <c r="I13" s="20">
        <f>-332-H13</f>
        <v>-177</v>
      </c>
      <c r="J13" s="20">
        <f>-516-I13-H13</f>
        <v>-184</v>
      </c>
      <c r="K13" s="20">
        <f t="shared" ref="K13:K15" si="7">L13-J13-I13-H13</f>
        <v>-185</v>
      </c>
      <c r="L13" s="48">
        <v>-701</v>
      </c>
      <c r="M13" s="20">
        <v>-180</v>
      </c>
      <c r="N13" s="20">
        <v>-195</v>
      </c>
      <c r="O13" s="20">
        <v>-168</v>
      </c>
      <c r="P13" s="20">
        <f t="shared" ref="P13:P15" si="8">Q13-O13-N13-M13</f>
        <v>-212</v>
      </c>
      <c r="Q13" s="48">
        <v>-755</v>
      </c>
      <c r="R13" s="20">
        <v>-214</v>
      </c>
      <c r="S13" s="20">
        <v>-218</v>
      </c>
      <c r="T13" s="70">
        <v>-226</v>
      </c>
      <c r="U13" s="70">
        <f t="shared" ref="U13:U15" si="9">V13-SUM(R13:T13)</f>
        <v>-215</v>
      </c>
      <c r="V13" s="95">
        <v>-873</v>
      </c>
      <c r="W13" s="130">
        <v>-221</v>
      </c>
      <c r="X13" s="130">
        <v>-204</v>
      </c>
      <c r="Y13" s="130">
        <v>-233</v>
      </c>
      <c r="Z13" s="67">
        <v>-231</v>
      </c>
      <c r="AA13" s="92">
        <v>-889</v>
      </c>
      <c r="AB13" s="67">
        <v>-199</v>
      </c>
      <c r="AC13" s="67">
        <v>-226</v>
      </c>
      <c r="AD13" s="67">
        <v>-239</v>
      </c>
      <c r="AE13" s="67">
        <v>-237</v>
      </c>
      <c r="AF13" s="92">
        <v>-901</v>
      </c>
    </row>
    <row r="14" spans="2:32" x14ac:dyDescent="0.25">
      <c r="B14" s="2" t="s">
        <v>55</v>
      </c>
      <c r="C14" s="20">
        <v>-507</v>
      </c>
      <c r="D14" s="20">
        <f>-999-C14</f>
        <v>-492</v>
      </c>
      <c r="E14" s="20">
        <f>-1483-D14-C14</f>
        <v>-484</v>
      </c>
      <c r="F14" s="20">
        <f t="shared" si="6"/>
        <v>-608</v>
      </c>
      <c r="G14" s="48">
        <v>-2091</v>
      </c>
      <c r="H14" s="20">
        <v>-501</v>
      </c>
      <c r="I14" s="20">
        <f>-932-H14</f>
        <v>-431</v>
      </c>
      <c r="J14" s="20">
        <f>-1443-I14-H14</f>
        <v>-511</v>
      </c>
      <c r="K14" s="20">
        <f t="shared" si="7"/>
        <v>-570</v>
      </c>
      <c r="L14" s="48">
        <v>-2013</v>
      </c>
      <c r="M14" s="20">
        <v>-464</v>
      </c>
      <c r="N14" s="20">
        <v>-491</v>
      </c>
      <c r="O14" s="20">
        <v>-543</v>
      </c>
      <c r="P14" s="20">
        <f t="shared" si="8"/>
        <v>-639</v>
      </c>
      <c r="Q14" s="48">
        <v>-2137</v>
      </c>
      <c r="R14" s="20">
        <v>-533</v>
      </c>
      <c r="S14" s="20">
        <v>-559</v>
      </c>
      <c r="T14" s="70">
        <v>-614</v>
      </c>
      <c r="U14" s="70">
        <f t="shared" si="9"/>
        <v>-786</v>
      </c>
      <c r="V14" s="95">
        <v>-2492</v>
      </c>
      <c r="W14" s="130">
        <v>-544</v>
      </c>
      <c r="X14" s="130">
        <v>-541</v>
      </c>
      <c r="Y14" s="130">
        <v>-665</v>
      </c>
      <c r="Z14" s="67">
        <v>-753</v>
      </c>
      <c r="AA14" s="92">
        <v>-2503</v>
      </c>
      <c r="AB14" s="67">
        <v>-607</v>
      </c>
      <c r="AC14" s="67">
        <v>-635</v>
      </c>
      <c r="AD14" s="67">
        <v>-694</v>
      </c>
      <c r="AE14" s="67">
        <v>-905</v>
      </c>
      <c r="AF14" s="92">
        <v>-2841</v>
      </c>
    </row>
    <row r="15" spans="2:32" x14ac:dyDescent="0.25">
      <c r="B15" s="2" t="s">
        <v>56</v>
      </c>
      <c r="C15" s="8">
        <v>270</v>
      </c>
      <c r="D15" s="20">
        <f>112-C15</f>
        <v>-158</v>
      </c>
      <c r="E15" s="22">
        <f>-30-D15-C15</f>
        <v>-142</v>
      </c>
      <c r="F15" s="22">
        <f t="shared" si="6"/>
        <v>-2586</v>
      </c>
      <c r="G15" s="49">
        <v>-2616</v>
      </c>
      <c r="H15" s="22">
        <v>-325</v>
      </c>
      <c r="I15" s="7">
        <f>-240-H15</f>
        <v>85</v>
      </c>
      <c r="J15" s="22">
        <f>-640-I15-H15</f>
        <v>-400</v>
      </c>
      <c r="K15" s="7">
        <f t="shared" si="7"/>
        <v>87</v>
      </c>
      <c r="L15" s="49">
        <v>-553</v>
      </c>
      <c r="M15" s="22">
        <v>-56</v>
      </c>
      <c r="N15" s="7">
        <v>167</v>
      </c>
      <c r="O15" s="22">
        <v>-230</v>
      </c>
      <c r="P15" s="7">
        <f t="shared" si="8"/>
        <v>711</v>
      </c>
      <c r="Q15" s="53">
        <v>592</v>
      </c>
      <c r="R15" s="29">
        <v>6994</v>
      </c>
      <c r="S15" s="22">
        <v>-130</v>
      </c>
      <c r="T15" s="71">
        <v>-735</v>
      </c>
      <c r="U15" s="71">
        <f t="shared" si="9"/>
        <v>-122</v>
      </c>
      <c r="V15" s="96">
        <v>6007</v>
      </c>
      <c r="W15" s="131">
        <v>-2104</v>
      </c>
      <c r="X15" s="131">
        <v>-225</v>
      </c>
      <c r="Y15" s="131">
        <v>-341</v>
      </c>
      <c r="Z15" s="71">
        <v>376</v>
      </c>
      <c r="AA15" s="96">
        <v>-2294</v>
      </c>
      <c r="AB15" s="71">
        <v>412</v>
      </c>
      <c r="AC15" s="71">
        <v>392</v>
      </c>
      <c r="AD15" s="71">
        <v>276</v>
      </c>
      <c r="AE15" s="71">
        <v>-475</v>
      </c>
      <c r="AF15" s="96">
        <v>605</v>
      </c>
    </row>
    <row r="16" spans="2:32" x14ac:dyDescent="0.25">
      <c r="B16" s="2"/>
      <c r="C16" s="19">
        <f t="shared" ref="C16:R16" si="10">SUM(C12:C15)</f>
        <v>-652</v>
      </c>
      <c r="D16" s="21">
        <f t="shared" si="10"/>
        <v>-1073</v>
      </c>
      <c r="E16" s="21">
        <f t="shared" si="10"/>
        <v>-1013</v>
      </c>
      <c r="F16" s="21">
        <f t="shared" si="10"/>
        <v>-3608</v>
      </c>
      <c r="G16" s="50">
        <f t="shared" si="10"/>
        <v>-6346</v>
      </c>
      <c r="H16" s="21">
        <f t="shared" si="10"/>
        <v>-981</v>
      </c>
      <c r="I16" s="21">
        <f t="shared" si="10"/>
        <v>-523</v>
      </c>
      <c r="J16" s="21">
        <f t="shared" si="10"/>
        <v>-1095</v>
      </c>
      <c r="K16" s="21">
        <f t="shared" si="10"/>
        <v>-668</v>
      </c>
      <c r="L16" s="50">
        <f t="shared" si="10"/>
        <v>-3267</v>
      </c>
      <c r="M16" s="21">
        <f t="shared" si="10"/>
        <v>-700</v>
      </c>
      <c r="N16" s="21">
        <f t="shared" si="10"/>
        <v>-519</v>
      </c>
      <c r="O16" s="21">
        <f t="shared" si="10"/>
        <v>-941</v>
      </c>
      <c r="P16" s="21">
        <f t="shared" si="10"/>
        <v>-140</v>
      </c>
      <c r="Q16" s="50">
        <f t="shared" si="10"/>
        <v>-2300</v>
      </c>
      <c r="R16" s="29">
        <f t="shared" si="10"/>
        <v>6247</v>
      </c>
      <c r="S16" s="21">
        <v>-907</v>
      </c>
      <c r="T16" s="72">
        <f t="shared" ref="T16:U16" si="11">SUM(T12:T15)</f>
        <v>-1575</v>
      </c>
      <c r="U16" s="72">
        <f t="shared" si="11"/>
        <v>-1123</v>
      </c>
      <c r="V16" s="97">
        <f>SUM(V12:V15)</f>
        <v>2642</v>
      </c>
      <c r="W16" s="132">
        <f t="shared" ref="W16:AE16" si="12">SUM(W12:W15)</f>
        <v>-2869</v>
      </c>
      <c r="X16" s="132">
        <f t="shared" si="12"/>
        <v>-970</v>
      </c>
      <c r="Y16" s="132">
        <f t="shared" si="12"/>
        <v>-1239</v>
      </c>
      <c r="Z16" s="72">
        <f t="shared" si="12"/>
        <v>-608</v>
      </c>
      <c r="AA16" s="97">
        <f t="shared" si="12"/>
        <v>-5686</v>
      </c>
      <c r="AB16" s="72">
        <f t="shared" si="12"/>
        <v>-394</v>
      </c>
      <c r="AC16" s="72">
        <f t="shared" si="12"/>
        <v>-469</v>
      </c>
      <c r="AD16" s="72">
        <f t="shared" si="12"/>
        <v>-657</v>
      </c>
      <c r="AE16" s="72">
        <f t="shared" si="12"/>
        <v>-1617</v>
      </c>
      <c r="AF16" s="97">
        <v>-3137</v>
      </c>
    </row>
    <row r="17" spans="2:32" x14ac:dyDescent="0.25">
      <c r="B17" s="12" t="s">
        <v>57</v>
      </c>
      <c r="C17" s="14">
        <f t="shared" ref="C17:R17" si="13">C10+C16</f>
        <v>498</v>
      </c>
      <c r="D17" s="14">
        <f t="shared" si="13"/>
        <v>606</v>
      </c>
      <c r="E17" s="14">
        <f t="shared" si="13"/>
        <v>651</v>
      </c>
      <c r="F17" s="24">
        <f t="shared" si="13"/>
        <v>-2146</v>
      </c>
      <c r="G17" s="51">
        <f t="shared" si="13"/>
        <v>-391</v>
      </c>
      <c r="H17" s="24">
        <f t="shared" si="13"/>
        <v>-16</v>
      </c>
      <c r="I17" s="14">
        <f t="shared" si="13"/>
        <v>751</v>
      </c>
      <c r="J17" s="14">
        <f t="shared" si="13"/>
        <v>602</v>
      </c>
      <c r="K17" s="14">
        <f t="shared" si="13"/>
        <v>1024</v>
      </c>
      <c r="L17" s="58">
        <f t="shared" si="13"/>
        <v>2361</v>
      </c>
      <c r="M17" s="14">
        <f t="shared" si="13"/>
        <v>502</v>
      </c>
      <c r="N17" s="14">
        <f t="shared" si="13"/>
        <v>1062</v>
      </c>
      <c r="O17" s="14">
        <f t="shared" si="13"/>
        <v>765</v>
      </c>
      <c r="P17" s="14">
        <f t="shared" si="13"/>
        <v>1273</v>
      </c>
      <c r="Q17" s="58">
        <f t="shared" si="13"/>
        <v>3602</v>
      </c>
      <c r="R17" s="14">
        <f t="shared" si="13"/>
        <v>7129</v>
      </c>
      <c r="S17" s="14">
        <v>511</v>
      </c>
      <c r="T17" s="73">
        <f t="shared" ref="T17:AE17" si="14">T10+T16</f>
        <v>-237</v>
      </c>
      <c r="U17" s="73">
        <f t="shared" si="14"/>
        <v>334</v>
      </c>
      <c r="V17" s="98">
        <f t="shared" si="14"/>
        <v>7737</v>
      </c>
      <c r="W17" s="133">
        <f t="shared" si="14"/>
        <v>-2121</v>
      </c>
      <c r="X17" s="133">
        <f t="shared" si="14"/>
        <v>50</v>
      </c>
      <c r="Y17" s="133">
        <f t="shared" si="14"/>
        <v>1324</v>
      </c>
      <c r="Z17" s="73">
        <f t="shared" si="14"/>
        <v>2020</v>
      </c>
      <c r="AA17" s="98">
        <f t="shared" si="14"/>
        <v>1273</v>
      </c>
      <c r="AB17" s="73">
        <f t="shared" si="14"/>
        <v>2098</v>
      </c>
      <c r="AC17" s="73">
        <f t="shared" si="14"/>
        <v>2697</v>
      </c>
      <c r="AD17" s="73">
        <f t="shared" si="14"/>
        <v>2273</v>
      </c>
      <c r="AE17" s="73">
        <f t="shared" si="14"/>
        <v>869</v>
      </c>
      <c r="AF17" s="98">
        <v>7937</v>
      </c>
    </row>
    <row r="18" spans="2:32" x14ac:dyDescent="0.25">
      <c r="B18" s="2"/>
      <c r="C18" s="11"/>
      <c r="D18" s="11"/>
      <c r="E18" s="11"/>
      <c r="F18" s="11"/>
      <c r="G18" s="52"/>
      <c r="H18" s="11"/>
      <c r="I18" s="11"/>
      <c r="J18" s="11"/>
      <c r="K18" s="11"/>
      <c r="L18" s="52"/>
      <c r="M18" s="11"/>
      <c r="N18" s="11"/>
      <c r="O18" s="11"/>
      <c r="P18" s="11"/>
      <c r="Q18" s="52"/>
      <c r="R18" s="11"/>
      <c r="S18" s="11"/>
      <c r="T18" s="74"/>
      <c r="U18" s="74"/>
      <c r="V18" s="99"/>
      <c r="W18" s="134"/>
      <c r="X18" s="134"/>
      <c r="Y18" s="134"/>
      <c r="Z18" s="74"/>
      <c r="AA18" s="99"/>
      <c r="AB18" s="74"/>
      <c r="AC18" s="74"/>
      <c r="AD18" s="74"/>
      <c r="AE18" s="74"/>
      <c r="AF18" s="99"/>
    </row>
    <row r="19" spans="2:32" x14ac:dyDescent="0.25">
      <c r="B19" s="1" t="s">
        <v>58</v>
      </c>
      <c r="C19" s="7"/>
      <c r="D19" s="7"/>
      <c r="E19" s="7"/>
      <c r="F19" s="7"/>
      <c r="G19" s="45"/>
      <c r="H19" s="7"/>
      <c r="I19" s="7"/>
      <c r="J19" s="7"/>
      <c r="K19" s="7"/>
      <c r="L19" s="45"/>
      <c r="M19" s="7"/>
      <c r="N19" s="7"/>
      <c r="O19" s="7"/>
      <c r="P19" s="7"/>
      <c r="Q19" s="45"/>
      <c r="R19" s="7"/>
      <c r="S19" s="7"/>
      <c r="T19" s="67"/>
      <c r="U19" s="67"/>
      <c r="V19" s="92"/>
      <c r="W19" s="130"/>
      <c r="X19" s="130"/>
      <c r="Y19" s="130"/>
      <c r="Z19" s="67"/>
      <c r="AA19" s="92"/>
      <c r="AB19" s="67"/>
      <c r="AC19" s="67"/>
      <c r="AD19" s="67"/>
      <c r="AE19" s="67"/>
      <c r="AF19" s="92"/>
    </row>
    <row r="20" spans="2:32" x14ac:dyDescent="0.25">
      <c r="B20" s="2" t="s">
        <v>59</v>
      </c>
      <c r="C20" s="7">
        <v>291</v>
      </c>
      <c r="D20" s="7">
        <f>586-C20</f>
        <v>295</v>
      </c>
      <c r="E20" s="20">
        <f>558-D20-C20</f>
        <v>-28</v>
      </c>
      <c r="F20" s="7">
        <f t="shared" ref="F20:F22" si="15">G20-E20-D20-C20</f>
        <v>166</v>
      </c>
      <c r="G20" s="45">
        <v>724</v>
      </c>
      <c r="H20" s="7">
        <v>134</v>
      </c>
      <c r="I20" s="7">
        <f>484-H20</f>
        <v>350</v>
      </c>
      <c r="J20" s="7">
        <f>931-I20-H20</f>
        <v>447</v>
      </c>
      <c r="K20" s="7">
        <f t="shared" ref="K20:K22" si="16">L20-J20-I20-H20</f>
        <v>288</v>
      </c>
      <c r="L20" s="45">
        <v>1219</v>
      </c>
      <c r="M20" s="7">
        <v>389</v>
      </c>
      <c r="N20" s="7">
        <v>115</v>
      </c>
      <c r="O20" s="7">
        <f>562-N20-M20</f>
        <v>58</v>
      </c>
      <c r="P20" s="7">
        <f t="shared" ref="P20:P22" si="17">Q20-O20-N20-M20</f>
        <v>556</v>
      </c>
      <c r="Q20" s="45">
        <v>1118</v>
      </c>
      <c r="R20" s="7">
        <v>89</v>
      </c>
      <c r="S20" s="7">
        <v>215</v>
      </c>
      <c r="T20" s="67">
        <v>41</v>
      </c>
      <c r="U20" s="67">
        <f t="shared" ref="U20:U22" si="18">V20-SUM(R20:T20)</f>
        <v>574</v>
      </c>
      <c r="V20" s="92">
        <v>919</v>
      </c>
      <c r="W20" s="130">
        <v>-133</v>
      </c>
      <c r="X20" s="130">
        <v>-79</v>
      </c>
      <c r="Y20" s="130">
        <v>238</v>
      </c>
      <c r="Z20" s="67">
        <v>701</v>
      </c>
      <c r="AA20" s="92">
        <v>727</v>
      </c>
      <c r="AB20" s="67">
        <v>97</v>
      </c>
      <c r="AC20" s="67">
        <v>369</v>
      </c>
      <c r="AD20" s="67">
        <v>-150</v>
      </c>
      <c r="AE20" s="67">
        <v>269</v>
      </c>
      <c r="AF20" s="92">
        <v>585</v>
      </c>
    </row>
    <row r="21" spans="2:32" x14ac:dyDescent="0.25">
      <c r="B21" s="2" t="s">
        <v>60</v>
      </c>
      <c r="C21" s="7">
        <v>0</v>
      </c>
      <c r="D21" s="7">
        <v>0</v>
      </c>
      <c r="E21" s="7">
        <v>0</v>
      </c>
      <c r="F21" s="7">
        <f t="shared" si="15"/>
        <v>0</v>
      </c>
      <c r="G21" s="45">
        <v>0</v>
      </c>
      <c r="H21" s="7">
        <v>0</v>
      </c>
      <c r="I21" s="7">
        <v>0</v>
      </c>
      <c r="J21" s="7">
        <v>0</v>
      </c>
      <c r="K21" s="7">
        <f t="shared" si="16"/>
        <v>0</v>
      </c>
      <c r="L21" s="45">
        <v>0</v>
      </c>
      <c r="M21" s="7">
        <v>0</v>
      </c>
      <c r="N21" s="7">
        <v>0</v>
      </c>
      <c r="O21" s="7">
        <v>0</v>
      </c>
      <c r="P21" s="7">
        <f t="shared" si="17"/>
        <v>820</v>
      </c>
      <c r="Q21" s="45">
        <v>820</v>
      </c>
      <c r="R21" s="7">
        <v>0</v>
      </c>
      <c r="S21" s="7">
        <v>0</v>
      </c>
      <c r="T21" s="67">
        <v>0</v>
      </c>
      <c r="U21" s="67">
        <f t="shared" si="18"/>
        <v>0</v>
      </c>
      <c r="V21" s="45">
        <v>0</v>
      </c>
      <c r="W21" s="130">
        <v>0</v>
      </c>
      <c r="X21" s="130">
        <v>0</v>
      </c>
      <c r="Y21" s="130">
        <v>0</v>
      </c>
      <c r="Z21" s="67">
        <v>0</v>
      </c>
      <c r="AA21" s="45">
        <v>0</v>
      </c>
      <c r="AB21" s="67">
        <v>0</v>
      </c>
      <c r="AC21" s="67">
        <v>0</v>
      </c>
      <c r="AD21" s="67">
        <v>0</v>
      </c>
      <c r="AE21" s="67">
        <v>0</v>
      </c>
      <c r="AF21" s="45">
        <v>0</v>
      </c>
    </row>
    <row r="22" spans="2:32" x14ac:dyDescent="0.25">
      <c r="B22" s="2" t="s">
        <v>61</v>
      </c>
      <c r="C22" s="8">
        <v>44</v>
      </c>
      <c r="D22" s="8">
        <f>44-C22</f>
        <v>0</v>
      </c>
      <c r="E22" s="8">
        <v>0</v>
      </c>
      <c r="F22" s="8">
        <f t="shared" si="15"/>
        <v>0</v>
      </c>
      <c r="G22" s="53">
        <v>44</v>
      </c>
      <c r="H22" s="8">
        <v>4</v>
      </c>
      <c r="I22" s="22">
        <f>3-H22</f>
        <v>-1</v>
      </c>
      <c r="J22" s="8">
        <f>3-I22-H22</f>
        <v>0</v>
      </c>
      <c r="K22" s="8">
        <f t="shared" si="16"/>
        <v>0</v>
      </c>
      <c r="L22" s="53">
        <v>3</v>
      </c>
      <c r="M22" s="8">
        <v>0</v>
      </c>
      <c r="N22" s="8">
        <f>0-M22</f>
        <v>0</v>
      </c>
      <c r="O22" s="8">
        <f>0-N22-M22</f>
        <v>0</v>
      </c>
      <c r="P22" s="8">
        <f t="shared" si="17"/>
        <v>4</v>
      </c>
      <c r="Q22" s="53">
        <v>4</v>
      </c>
      <c r="R22" s="8">
        <v>0</v>
      </c>
      <c r="S22" s="8">
        <v>108</v>
      </c>
      <c r="T22" s="71">
        <v>0</v>
      </c>
      <c r="U22" s="71">
        <f t="shared" si="18"/>
        <v>0</v>
      </c>
      <c r="V22" s="96">
        <v>108</v>
      </c>
      <c r="W22" s="132">
        <v>0</v>
      </c>
      <c r="X22" s="132">
        <v>0</v>
      </c>
      <c r="Y22" s="132">
        <v>0</v>
      </c>
      <c r="Z22" s="71">
        <v>0</v>
      </c>
      <c r="AA22" s="53">
        <v>0</v>
      </c>
      <c r="AB22" s="71">
        <v>0</v>
      </c>
      <c r="AC22" s="71">
        <v>0</v>
      </c>
      <c r="AD22" s="71">
        <v>20</v>
      </c>
      <c r="AE22" s="71">
        <v>0</v>
      </c>
      <c r="AF22" s="53">
        <v>20</v>
      </c>
    </row>
    <row r="23" spans="2:32" x14ac:dyDescent="0.25">
      <c r="B23" s="2"/>
      <c r="C23" s="9">
        <f t="shared" ref="C23:R23" si="19">SUM(C20:C22)</f>
        <v>335</v>
      </c>
      <c r="D23" s="9">
        <f t="shared" si="19"/>
        <v>295</v>
      </c>
      <c r="E23" s="23">
        <f t="shared" si="19"/>
        <v>-28</v>
      </c>
      <c r="F23" s="9">
        <f t="shared" si="19"/>
        <v>166</v>
      </c>
      <c r="G23" s="54">
        <f t="shared" si="19"/>
        <v>768</v>
      </c>
      <c r="H23" s="9">
        <f t="shared" si="19"/>
        <v>138</v>
      </c>
      <c r="I23" s="9">
        <f t="shared" si="19"/>
        <v>349</v>
      </c>
      <c r="J23" s="9">
        <f t="shared" si="19"/>
        <v>447</v>
      </c>
      <c r="K23" s="9">
        <f t="shared" si="19"/>
        <v>288</v>
      </c>
      <c r="L23" s="54">
        <f t="shared" si="19"/>
        <v>1222</v>
      </c>
      <c r="M23" s="9">
        <f t="shared" si="19"/>
        <v>389</v>
      </c>
      <c r="N23" s="9">
        <f t="shared" si="19"/>
        <v>115</v>
      </c>
      <c r="O23" s="9">
        <f t="shared" si="19"/>
        <v>58</v>
      </c>
      <c r="P23" s="9">
        <f t="shared" si="19"/>
        <v>1380</v>
      </c>
      <c r="Q23" s="54">
        <f t="shared" si="19"/>
        <v>1942</v>
      </c>
      <c r="R23" s="9">
        <f t="shared" si="19"/>
        <v>89</v>
      </c>
      <c r="S23" s="9">
        <v>323</v>
      </c>
      <c r="T23" s="70">
        <f t="shared" ref="T23:AE23" si="20">SUM(T20:T22)</f>
        <v>41</v>
      </c>
      <c r="U23" s="70">
        <f t="shared" si="20"/>
        <v>574</v>
      </c>
      <c r="V23" s="95">
        <f t="shared" si="20"/>
        <v>1027</v>
      </c>
      <c r="W23" s="130">
        <f t="shared" si="20"/>
        <v>-133</v>
      </c>
      <c r="X23" s="130">
        <f t="shared" si="20"/>
        <v>-79</v>
      </c>
      <c r="Y23" s="130">
        <f t="shared" si="20"/>
        <v>238</v>
      </c>
      <c r="Z23" s="67">
        <f t="shared" si="20"/>
        <v>701</v>
      </c>
      <c r="AA23" s="92">
        <f t="shared" si="20"/>
        <v>727</v>
      </c>
      <c r="AB23" s="67">
        <f t="shared" si="20"/>
        <v>97</v>
      </c>
      <c r="AC23" s="67">
        <f t="shared" si="20"/>
        <v>369</v>
      </c>
      <c r="AD23" s="67">
        <f t="shared" si="20"/>
        <v>-130</v>
      </c>
      <c r="AE23" s="67">
        <f t="shared" si="20"/>
        <v>269</v>
      </c>
      <c r="AF23" s="92">
        <v>605</v>
      </c>
    </row>
    <row r="24" spans="2:32" x14ac:dyDescent="0.25">
      <c r="B24" s="1" t="s">
        <v>62</v>
      </c>
      <c r="C24" s="7"/>
      <c r="D24" s="7"/>
      <c r="E24" s="7"/>
      <c r="F24" s="7"/>
      <c r="G24" s="45"/>
      <c r="H24" s="7"/>
      <c r="I24" s="7"/>
      <c r="J24" s="7"/>
      <c r="K24" s="7"/>
      <c r="L24" s="45"/>
      <c r="M24" s="7"/>
      <c r="N24" s="7"/>
      <c r="O24" s="7"/>
      <c r="P24" s="7"/>
      <c r="Q24" s="45"/>
      <c r="R24" s="7"/>
      <c r="S24" s="7"/>
      <c r="T24" s="67"/>
      <c r="U24" s="67"/>
      <c r="V24" s="92"/>
      <c r="W24" s="130"/>
      <c r="X24" s="130"/>
      <c r="Y24" s="130"/>
      <c r="Z24" s="67"/>
      <c r="AA24" s="92"/>
      <c r="AB24" s="67"/>
      <c r="AC24" s="67"/>
      <c r="AD24" s="67"/>
      <c r="AE24" s="67"/>
      <c r="AF24" s="92"/>
    </row>
    <row r="25" spans="2:32" x14ac:dyDescent="0.25">
      <c r="B25" s="2" t="s">
        <v>63</v>
      </c>
      <c r="C25" s="7">
        <v>501</v>
      </c>
      <c r="D25" s="7">
        <f>830-C25</f>
        <v>329</v>
      </c>
      <c r="E25" s="7">
        <f>1107-D25-C25</f>
        <v>277</v>
      </c>
      <c r="F25" s="7">
        <f t="shared" ref="F25:F28" si="21">G25-E25-D25-C25</f>
        <v>290</v>
      </c>
      <c r="G25" s="45">
        <v>1397</v>
      </c>
      <c r="H25" s="7">
        <v>292</v>
      </c>
      <c r="I25" s="7">
        <f>770-H25</f>
        <v>478</v>
      </c>
      <c r="J25" s="7">
        <f>972-I25-H25</f>
        <v>202</v>
      </c>
      <c r="K25" s="7">
        <f t="shared" ref="K25:K28" si="22">L25-J25-I25-H25</f>
        <v>181</v>
      </c>
      <c r="L25" s="45">
        <v>1153</v>
      </c>
      <c r="M25" s="7">
        <v>226</v>
      </c>
      <c r="N25" s="7">
        <v>211</v>
      </c>
      <c r="O25" s="7">
        <v>236</v>
      </c>
      <c r="P25" s="7">
        <f t="shared" ref="P25:P28" si="23">Q25-O25-N25-M25</f>
        <v>584</v>
      </c>
      <c r="Q25" s="45">
        <v>1257</v>
      </c>
      <c r="R25" s="7">
        <v>411</v>
      </c>
      <c r="S25" s="7">
        <v>233</v>
      </c>
      <c r="T25" s="67">
        <v>212</v>
      </c>
      <c r="U25" s="67">
        <f t="shared" ref="U25:U28" si="24">V25-SUM(R25:T25)</f>
        <v>413</v>
      </c>
      <c r="V25" s="92">
        <v>1269</v>
      </c>
      <c r="W25" s="130">
        <v>170</v>
      </c>
      <c r="X25" s="130">
        <v>236</v>
      </c>
      <c r="Y25" s="130">
        <v>126</v>
      </c>
      <c r="Z25" s="67">
        <v>128</v>
      </c>
      <c r="AA25" s="92">
        <v>660</v>
      </c>
      <c r="AB25" s="67">
        <v>194</v>
      </c>
      <c r="AC25" s="67">
        <v>106</v>
      </c>
      <c r="AD25" s="67">
        <v>282</v>
      </c>
      <c r="AE25" s="67">
        <v>326</v>
      </c>
      <c r="AF25" s="92">
        <v>908</v>
      </c>
    </row>
    <row r="26" spans="2:32" x14ac:dyDescent="0.25">
      <c r="B26" s="2" t="s">
        <v>64</v>
      </c>
      <c r="C26" s="20">
        <v>-709</v>
      </c>
      <c r="D26" s="20">
        <f>-1402-C26</f>
        <v>-693</v>
      </c>
      <c r="E26" s="20">
        <f>-2011-D26-C26</f>
        <v>-609</v>
      </c>
      <c r="F26" s="20">
        <f t="shared" si="21"/>
        <v>-632</v>
      </c>
      <c r="G26" s="48">
        <v>-2643</v>
      </c>
      <c r="H26" s="20">
        <v>-637</v>
      </c>
      <c r="I26" s="20">
        <f>-1262-H26</f>
        <v>-625</v>
      </c>
      <c r="J26" s="20">
        <f>-1990-I26-H26</f>
        <v>-728</v>
      </c>
      <c r="K26" s="20">
        <f t="shared" si="22"/>
        <v>-715</v>
      </c>
      <c r="L26" s="48">
        <v>-2705</v>
      </c>
      <c r="M26" s="20">
        <v>-555</v>
      </c>
      <c r="N26" s="20">
        <v>-716</v>
      </c>
      <c r="O26" s="20">
        <v>-660</v>
      </c>
      <c r="P26" s="20">
        <f t="shared" si="23"/>
        <v>-598</v>
      </c>
      <c r="Q26" s="48">
        <v>-2529</v>
      </c>
      <c r="R26" s="20">
        <v>-787</v>
      </c>
      <c r="S26" s="20">
        <v>-667</v>
      </c>
      <c r="T26" s="70">
        <v>-475</v>
      </c>
      <c r="U26" s="70">
        <f t="shared" si="24"/>
        <v>-585</v>
      </c>
      <c r="V26" s="95">
        <v>-2514</v>
      </c>
      <c r="W26" s="130">
        <v>-570</v>
      </c>
      <c r="X26" s="130">
        <v>-661</v>
      </c>
      <c r="Y26" s="130">
        <v>-817</v>
      </c>
      <c r="Z26" s="67">
        <v>-931</v>
      </c>
      <c r="AA26" s="92">
        <v>-2979</v>
      </c>
      <c r="AB26" s="67">
        <v>-622</v>
      </c>
      <c r="AC26" s="67">
        <v>-703</v>
      </c>
      <c r="AD26" s="67">
        <v>-743</v>
      </c>
      <c r="AE26" s="67">
        <v>-946</v>
      </c>
      <c r="AF26" s="92">
        <v>-3014</v>
      </c>
    </row>
    <row r="27" spans="2:32" x14ac:dyDescent="0.25">
      <c r="B27" s="2" t="s">
        <v>65</v>
      </c>
      <c r="C27" s="20">
        <v>-504</v>
      </c>
      <c r="D27" s="20">
        <f>-933-C27</f>
        <v>-429</v>
      </c>
      <c r="E27" s="7">
        <f>-919-D27-C27</f>
        <v>14</v>
      </c>
      <c r="F27" s="20">
        <f t="shared" si="21"/>
        <v>-87</v>
      </c>
      <c r="G27" s="48">
        <v>-1006</v>
      </c>
      <c r="H27" s="20">
        <v>-168</v>
      </c>
      <c r="I27" s="7">
        <f>-87-H27</f>
        <v>81</v>
      </c>
      <c r="J27" s="20">
        <f>-260-I27-H27</f>
        <v>-173</v>
      </c>
      <c r="K27" s="7">
        <f t="shared" si="22"/>
        <v>47</v>
      </c>
      <c r="L27" s="48">
        <v>-213</v>
      </c>
      <c r="M27" s="20">
        <v>-3</v>
      </c>
      <c r="N27" s="7">
        <v>264</v>
      </c>
      <c r="O27" s="7">
        <v>45</v>
      </c>
      <c r="P27" s="20">
        <f t="shared" si="23"/>
        <v>-98</v>
      </c>
      <c r="Q27" s="45">
        <v>208</v>
      </c>
      <c r="R27" s="20">
        <v>-59</v>
      </c>
      <c r="S27" s="20">
        <v>-100</v>
      </c>
      <c r="T27" s="70">
        <v>49</v>
      </c>
      <c r="U27" s="70">
        <f t="shared" si="24"/>
        <v>-125</v>
      </c>
      <c r="V27" s="92">
        <v>-235</v>
      </c>
      <c r="W27" s="130">
        <v>-19</v>
      </c>
      <c r="X27" s="130">
        <v>26</v>
      </c>
      <c r="Y27" s="130">
        <v>-140</v>
      </c>
      <c r="Z27" s="67">
        <v>12</v>
      </c>
      <c r="AA27" s="92">
        <v>-121</v>
      </c>
      <c r="AB27" s="67">
        <v>263</v>
      </c>
      <c r="AC27" s="67">
        <v>211</v>
      </c>
      <c r="AD27" s="67">
        <v>102</v>
      </c>
      <c r="AE27" s="67">
        <v>3810</v>
      </c>
      <c r="AF27" s="92">
        <v>4386</v>
      </c>
    </row>
    <row r="28" spans="2:32" x14ac:dyDescent="0.25">
      <c r="B28" s="2" t="s">
        <v>66</v>
      </c>
      <c r="C28" s="8">
        <v>244</v>
      </c>
      <c r="D28" s="8">
        <f>470-C28</f>
        <v>226</v>
      </c>
      <c r="E28" s="22">
        <f>453-D28-C28</f>
        <v>-17</v>
      </c>
      <c r="F28" s="8">
        <f t="shared" si="21"/>
        <v>82</v>
      </c>
      <c r="G28" s="53">
        <v>535</v>
      </c>
      <c r="H28" s="8">
        <v>34</v>
      </c>
      <c r="I28" s="22">
        <f>-97-H28</f>
        <v>-131</v>
      </c>
      <c r="J28" s="8">
        <f>104-I28-H28</f>
        <v>201</v>
      </c>
      <c r="K28" s="22">
        <f t="shared" si="22"/>
        <v>-828</v>
      </c>
      <c r="L28" s="49">
        <v>-724</v>
      </c>
      <c r="M28" s="22">
        <v>-57</v>
      </c>
      <c r="N28" s="22">
        <f>-717-M28</f>
        <v>-660</v>
      </c>
      <c r="O28" s="22">
        <v>-245</v>
      </c>
      <c r="P28" s="22">
        <f t="shared" si="23"/>
        <v>-14</v>
      </c>
      <c r="Q28" s="49">
        <v>-976</v>
      </c>
      <c r="R28" s="22">
        <v>-19</v>
      </c>
      <c r="S28" s="8">
        <v>59</v>
      </c>
      <c r="T28" s="71">
        <v>-238</v>
      </c>
      <c r="U28" s="71">
        <f t="shared" si="24"/>
        <v>61</v>
      </c>
      <c r="V28" s="96">
        <v>-137</v>
      </c>
      <c r="W28" s="132">
        <v>-1098</v>
      </c>
      <c r="X28" s="132">
        <v>-159</v>
      </c>
      <c r="Y28" s="132">
        <v>-148</v>
      </c>
      <c r="Z28" s="71">
        <v>378</v>
      </c>
      <c r="AA28" s="96">
        <v>-1027</v>
      </c>
      <c r="AB28" s="71">
        <v>-356</v>
      </c>
      <c r="AC28" s="71">
        <v>505</v>
      </c>
      <c r="AD28" s="71">
        <v>-367</v>
      </c>
      <c r="AE28" s="71">
        <v>-287</v>
      </c>
      <c r="AF28" s="96">
        <v>-505</v>
      </c>
    </row>
    <row r="29" spans="2:32" x14ac:dyDescent="0.25">
      <c r="B29" s="2"/>
      <c r="C29" s="19">
        <f t="shared" ref="C29:R29" si="25">SUM(C25:C28)</f>
        <v>-468</v>
      </c>
      <c r="D29" s="19">
        <f t="shared" si="25"/>
        <v>-567</v>
      </c>
      <c r="E29" s="19">
        <f t="shared" si="25"/>
        <v>-335</v>
      </c>
      <c r="F29" s="19">
        <f t="shared" si="25"/>
        <v>-347</v>
      </c>
      <c r="G29" s="46">
        <f t="shared" si="25"/>
        <v>-1717</v>
      </c>
      <c r="H29" s="19">
        <f t="shared" si="25"/>
        <v>-479</v>
      </c>
      <c r="I29" s="19">
        <f t="shared" si="25"/>
        <v>-197</v>
      </c>
      <c r="J29" s="19">
        <f t="shared" si="25"/>
        <v>-498</v>
      </c>
      <c r="K29" s="19">
        <f t="shared" si="25"/>
        <v>-1315</v>
      </c>
      <c r="L29" s="46">
        <f t="shared" si="25"/>
        <v>-2489</v>
      </c>
      <c r="M29" s="19">
        <f t="shared" si="25"/>
        <v>-389</v>
      </c>
      <c r="N29" s="19">
        <f t="shared" si="25"/>
        <v>-901</v>
      </c>
      <c r="O29" s="19">
        <f t="shared" si="25"/>
        <v>-624</v>
      </c>
      <c r="P29" s="19">
        <f t="shared" si="25"/>
        <v>-126</v>
      </c>
      <c r="Q29" s="46">
        <f t="shared" si="25"/>
        <v>-2040</v>
      </c>
      <c r="R29" s="19">
        <f t="shared" si="25"/>
        <v>-454</v>
      </c>
      <c r="S29" s="19">
        <v>-475</v>
      </c>
      <c r="T29" s="68">
        <f t="shared" ref="T29:AE29" si="26">SUM(T25:T28)</f>
        <v>-452</v>
      </c>
      <c r="U29" s="68">
        <f t="shared" si="26"/>
        <v>-236</v>
      </c>
      <c r="V29" s="93">
        <f t="shared" si="26"/>
        <v>-1617</v>
      </c>
      <c r="W29" s="131">
        <f t="shared" si="26"/>
        <v>-1517</v>
      </c>
      <c r="X29" s="131">
        <f t="shared" si="26"/>
        <v>-558</v>
      </c>
      <c r="Y29" s="131">
        <f t="shared" si="26"/>
        <v>-979</v>
      </c>
      <c r="Z29" s="68">
        <f t="shared" si="26"/>
        <v>-413</v>
      </c>
      <c r="AA29" s="93">
        <f t="shared" si="26"/>
        <v>-3467</v>
      </c>
      <c r="AB29" s="68">
        <f t="shared" si="26"/>
        <v>-521</v>
      </c>
      <c r="AC29" s="68">
        <f t="shared" si="26"/>
        <v>119</v>
      </c>
      <c r="AD29" s="68">
        <f t="shared" si="26"/>
        <v>-726</v>
      </c>
      <c r="AE29" s="68">
        <f t="shared" si="26"/>
        <v>2903</v>
      </c>
      <c r="AF29" s="93">
        <v>1775</v>
      </c>
    </row>
    <row r="30" spans="2:32" x14ac:dyDescent="0.25">
      <c r="B30" s="12" t="s">
        <v>214</v>
      </c>
      <c r="C30" s="14">
        <f t="shared" ref="C30:R30" si="27">C17+C23+C29</f>
        <v>365</v>
      </c>
      <c r="D30" s="14">
        <f t="shared" si="27"/>
        <v>334</v>
      </c>
      <c r="E30" s="14">
        <f t="shared" si="27"/>
        <v>288</v>
      </c>
      <c r="F30" s="24">
        <f t="shared" si="27"/>
        <v>-2327</v>
      </c>
      <c r="G30" s="51">
        <f t="shared" si="27"/>
        <v>-1340</v>
      </c>
      <c r="H30" s="24">
        <f t="shared" si="27"/>
        <v>-357</v>
      </c>
      <c r="I30" s="14">
        <f t="shared" si="27"/>
        <v>903</v>
      </c>
      <c r="J30" s="14">
        <f t="shared" si="27"/>
        <v>551</v>
      </c>
      <c r="K30" s="25">
        <f t="shared" si="27"/>
        <v>-3</v>
      </c>
      <c r="L30" s="58">
        <f t="shared" si="27"/>
        <v>1094</v>
      </c>
      <c r="M30" s="14">
        <f t="shared" si="27"/>
        <v>502</v>
      </c>
      <c r="N30" s="14">
        <f t="shared" si="27"/>
        <v>276</v>
      </c>
      <c r="O30" s="14">
        <f t="shared" si="27"/>
        <v>199</v>
      </c>
      <c r="P30" s="14">
        <f t="shared" si="27"/>
        <v>2527</v>
      </c>
      <c r="Q30" s="58">
        <f t="shared" si="27"/>
        <v>3504</v>
      </c>
      <c r="R30" s="14">
        <f t="shared" si="27"/>
        <v>6764</v>
      </c>
      <c r="S30" s="14">
        <v>359</v>
      </c>
      <c r="T30" s="73">
        <f t="shared" ref="T30:AE30" si="28">T17+T23+T29</f>
        <v>-648</v>
      </c>
      <c r="U30" s="73">
        <f t="shared" si="28"/>
        <v>672</v>
      </c>
      <c r="V30" s="98">
        <f t="shared" si="28"/>
        <v>7147</v>
      </c>
      <c r="W30" s="133">
        <f t="shared" si="28"/>
        <v>-3771</v>
      </c>
      <c r="X30" s="133">
        <f t="shared" si="28"/>
        <v>-587</v>
      </c>
      <c r="Y30" s="133">
        <f t="shared" si="28"/>
        <v>583</v>
      </c>
      <c r="Z30" s="73">
        <f t="shared" si="28"/>
        <v>2308</v>
      </c>
      <c r="AA30" s="98">
        <f t="shared" si="28"/>
        <v>-1467</v>
      </c>
      <c r="AB30" s="73">
        <f t="shared" si="28"/>
        <v>1674</v>
      </c>
      <c r="AC30" s="73">
        <f t="shared" si="28"/>
        <v>3185</v>
      </c>
      <c r="AD30" s="73">
        <f t="shared" si="28"/>
        <v>1417</v>
      </c>
      <c r="AE30" s="73">
        <f t="shared" si="28"/>
        <v>4041</v>
      </c>
      <c r="AF30" s="98">
        <v>10317</v>
      </c>
    </row>
    <row r="31" spans="2:32" x14ac:dyDescent="0.25">
      <c r="B31" s="2"/>
      <c r="C31" s="7"/>
      <c r="D31" s="7"/>
      <c r="E31" s="7"/>
      <c r="F31" s="7"/>
      <c r="G31" s="45"/>
      <c r="H31" s="7"/>
      <c r="I31" s="7"/>
      <c r="J31" s="7"/>
      <c r="K31" s="7"/>
      <c r="L31" s="45"/>
      <c r="M31" s="7"/>
      <c r="N31" s="7"/>
      <c r="O31" s="7"/>
      <c r="P31" s="7"/>
      <c r="Q31" s="45"/>
      <c r="R31" s="7"/>
      <c r="S31" s="7"/>
      <c r="T31" s="67"/>
      <c r="U31" s="67"/>
      <c r="V31" s="92"/>
      <c r="W31" s="130"/>
      <c r="X31" s="130"/>
      <c r="Y31" s="130"/>
      <c r="Z31" s="67"/>
      <c r="AA31" s="92"/>
      <c r="AB31" s="67"/>
      <c r="AC31" s="67"/>
      <c r="AD31" s="67"/>
      <c r="AE31" s="67"/>
      <c r="AF31" s="92"/>
    </row>
    <row r="32" spans="2:32" x14ac:dyDescent="0.25">
      <c r="B32" s="1" t="s">
        <v>73</v>
      </c>
      <c r="C32" s="7"/>
      <c r="D32" s="7"/>
      <c r="E32" s="7"/>
      <c r="F32" s="7"/>
      <c r="G32" s="45"/>
      <c r="H32" s="7"/>
      <c r="I32" s="7"/>
      <c r="J32" s="7"/>
      <c r="K32" s="7"/>
      <c r="L32" s="45"/>
      <c r="M32" s="7"/>
      <c r="N32" s="7"/>
      <c r="O32" s="7"/>
      <c r="P32" s="7"/>
      <c r="Q32" s="45"/>
      <c r="R32" s="7"/>
      <c r="S32" s="7"/>
      <c r="T32" s="67"/>
      <c r="U32" s="67"/>
      <c r="V32" s="92"/>
      <c r="W32" s="130"/>
      <c r="X32" s="130"/>
      <c r="Y32" s="130"/>
      <c r="Z32" s="67"/>
      <c r="AA32" s="92"/>
      <c r="AB32" s="67"/>
      <c r="AC32" s="67"/>
      <c r="AD32" s="67"/>
      <c r="AE32" s="67"/>
      <c r="AF32" s="92"/>
    </row>
    <row r="33" spans="1:32" x14ac:dyDescent="0.25">
      <c r="B33" s="2" t="s">
        <v>68</v>
      </c>
      <c r="C33" s="20">
        <v>-115</v>
      </c>
      <c r="D33" s="20">
        <f>-307-C33</f>
        <v>-192</v>
      </c>
      <c r="E33" s="20">
        <f>-488-D33-C33</f>
        <v>-181</v>
      </c>
      <c r="F33" s="7">
        <f t="shared" ref="F33:F34" si="29">G33-E33-D33-C33</f>
        <v>7</v>
      </c>
      <c r="G33" s="48">
        <v>-481</v>
      </c>
      <c r="H33" s="20">
        <v>-86</v>
      </c>
      <c r="I33" s="20">
        <f>-204-H33</f>
        <v>-118</v>
      </c>
      <c r="J33" s="20">
        <f>-482-I33-H33</f>
        <v>-278</v>
      </c>
      <c r="K33" s="20">
        <f t="shared" ref="K33:K34" si="30">L33-J33-I33-H33</f>
        <v>-240</v>
      </c>
      <c r="L33" s="48">
        <v>-722</v>
      </c>
      <c r="M33" s="20">
        <v>-201</v>
      </c>
      <c r="N33" s="20">
        <v>-86</v>
      </c>
      <c r="O33" s="20">
        <v>-109</v>
      </c>
      <c r="P33" s="20">
        <f t="shared" ref="P33:P34" si="31">Q33-O33-N33-M33</f>
        <v>-59</v>
      </c>
      <c r="Q33" s="48">
        <v>-455</v>
      </c>
      <c r="R33" s="20">
        <v>-1251</v>
      </c>
      <c r="S33" s="20">
        <v>-45</v>
      </c>
      <c r="T33" s="70">
        <v>-130</v>
      </c>
      <c r="U33" s="70">
        <f t="shared" ref="U33:U34" si="32">V33-SUM(R33:T33)</f>
        <v>-35</v>
      </c>
      <c r="V33" s="95">
        <v>-1461</v>
      </c>
      <c r="W33" s="130">
        <v>-137</v>
      </c>
      <c r="X33" s="130">
        <v>-91</v>
      </c>
      <c r="Y33" s="130">
        <v>-348</v>
      </c>
      <c r="Z33" s="67">
        <v>-324</v>
      </c>
      <c r="AA33" s="92">
        <v>-900</v>
      </c>
      <c r="AB33" s="67">
        <v>-736</v>
      </c>
      <c r="AC33" s="67">
        <v>-482</v>
      </c>
      <c r="AD33" s="67">
        <v>-530</v>
      </c>
      <c r="AE33" s="67">
        <v>-53</v>
      </c>
      <c r="AF33" s="92">
        <v>-1801</v>
      </c>
    </row>
    <row r="34" spans="1:32" x14ac:dyDescent="0.25">
      <c r="B34" s="2" t="s">
        <v>69</v>
      </c>
      <c r="C34" s="20">
        <v>-27</v>
      </c>
      <c r="D34" s="7">
        <f>167-C34</f>
        <v>194</v>
      </c>
      <c r="E34" s="7">
        <f>300-D34-C34</f>
        <v>133</v>
      </c>
      <c r="F34" s="7">
        <f t="shared" si="29"/>
        <v>570</v>
      </c>
      <c r="G34" s="45">
        <v>870</v>
      </c>
      <c r="H34" s="20">
        <v>-10</v>
      </c>
      <c r="I34" s="20">
        <f>-48-H34</f>
        <v>-38</v>
      </c>
      <c r="J34" s="7">
        <f>323-I34-H34</f>
        <v>371</v>
      </c>
      <c r="K34" s="7">
        <f t="shared" si="30"/>
        <v>263</v>
      </c>
      <c r="L34" s="45">
        <v>586</v>
      </c>
      <c r="M34" s="20">
        <v>-55</v>
      </c>
      <c r="N34" s="20">
        <v>-4</v>
      </c>
      <c r="O34" s="7">
        <v>22</v>
      </c>
      <c r="P34" s="20">
        <f t="shared" si="31"/>
        <v>-519</v>
      </c>
      <c r="Q34" s="48">
        <v>-556</v>
      </c>
      <c r="R34" s="20">
        <v>-1123</v>
      </c>
      <c r="S34" s="20">
        <v>-51</v>
      </c>
      <c r="T34" s="70">
        <v>321</v>
      </c>
      <c r="U34" s="70">
        <f t="shared" si="32"/>
        <v>148</v>
      </c>
      <c r="V34" s="95">
        <v>-705</v>
      </c>
      <c r="W34" s="130">
        <v>508</v>
      </c>
      <c r="X34" s="130">
        <v>57</v>
      </c>
      <c r="Y34" s="130">
        <v>-191</v>
      </c>
      <c r="Z34" s="67">
        <v>-1060</v>
      </c>
      <c r="AA34" s="92">
        <v>-686</v>
      </c>
      <c r="AB34" s="67">
        <v>161</v>
      </c>
      <c r="AC34" s="67">
        <v>-437</v>
      </c>
      <c r="AD34" s="67">
        <v>80</v>
      </c>
      <c r="AE34" s="67">
        <v>-1435</v>
      </c>
      <c r="AF34" s="92">
        <v>-1631</v>
      </c>
    </row>
    <row r="35" spans="1:32" x14ac:dyDescent="0.25">
      <c r="B35" s="2"/>
      <c r="C35" s="21">
        <f t="shared" ref="C35:R35" si="33">SUM(C33:C34)</f>
        <v>-142</v>
      </c>
      <c r="D35" s="10">
        <f t="shared" si="33"/>
        <v>2</v>
      </c>
      <c r="E35" s="21">
        <f t="shared" si="33"/>
        <v>-48</v>
      </c>
      <c r="F35" s="10">
        <f t="shared" si="33"/>
        <v>577</v>
      </c>
      <c r="G35" s="55">
        <f t="shared" si="33"/>
        <v>389</v>
      </c>
      <c r="H35" s="21">
        <f t="shared" si="33"/>
        <v>-96</v>
      </c>
      <c r="I35" s="21">
        <f t="shared" si="33"/>
        <v>-156</v>
      </c>
      <c r="J35" s="10">
        <f t="shared" si="33"/>
        <v>93</v>
      </c>
      <c r="K35" s="10">
        <f t="shared" si="33"/>
        <v>23</v>
      </c>
      <c r="L35" s="50">
        <f t="shared" si="33"/>
        <v>-136</v>
      </c>
      <c r="M35" s="21">
        <f t="shared" si="33"/>
        <v>-256</v>
      </c>
      <c r="N35" s="21">
        <f t="shared" si="33"/>
        <v>-90</v>
      </c>
      <c r="O35" s="21">
        <f t="shared" si="33"/>
        <v>-87</v>
      </c>
      <c r="P35" s="21">
        <f t="shared" si="33"/>
        <v>-578</v>
      </c>
      <c r="Q35" s="50">
        <f t="shared" si="33"/>
        <v>-1011</v>
      </c>
      <c r="R35" s="21">
        <f t="shared" si="33"/>
        <v>-2374</v>
      </c>
      <c r="S35" s="21">
        <v>-96</v>
      </c>
      <c r="T35" s="72">
        <f t="shared" ref="T35:AE35" si="34">SUM(T33:T34)</f>
        <v>191</v>
      </c>
      <c r="U35" s="72">
        <f t="shared" si="34"/>
        <v>113</v>
      </c>
      <c r="V35" s="97">
        <f t="shared" si="34"/>
        <v>-2166</v>
      </c>
      <c r="W35" s="135">
        <f t="shared" si="34"/>
        <v>371</v>
      </c>
      <c r="X35" s="135">
        <f t="shared" si="34"/>
        <v>-34</v>
      </c>
      <c r="Y35" s="135">
        <f t="shared" si="34"/>
        <v>-539</v>
      </c>
      <c r="Z35" s="72">
        <f t="shared" si="34"/>
        <v>-1384</v>
      </c>
      <c r="AA35" s="97">
        <f t="shared" si="34"/>
        <v>-1586</v>
      </c>
      <c r="AB35" s="72">
        <f t="shared" si="34"/>
        <v>-575</v>
      </c>
      <c r="AC35" s="72">
        <f t="shared" si="34"/>
        <v>-919</v>
      </c>
      <c r="AD35" s="72">
        <f t="shared" si="34"/>
        <v>-450</v>
      </c>
      <c r="AE35" s="72">
        <f t="shared" si="34"/>
        <v>-1488</v>
      </c>
      <c r="AF35" s="97">
        <v>-3432</v>
      </c>
    </row>
    <row r="36" spans="1:32" x14ac:dyDescent="0.25">
      <c r="B36" s="12" t="s">
        <v>213</v>
      </c>
      <c r="C36" s="14">
        <f t="shared" ref="C36:R36" si="35">C30+C35</f>
        <v>223</v>
      </c>
      <c r="D36" s="14">
        <f t="shared" si="35"/>
        <v>336</v>
      </c>
      <c r="E36" s="14">
        <f t="shared" si="35"/>
        <v>240</v>
      </c>
      <c r="F36" s="25">
        <f t="shared" si="35"/>
        <v>-1750</v>
      </c>
      <c r="G36" s="56">
        <f t="shared" si="35"/>
        <v>-951</v>
      </c>
      <c r="H36" s="25">
        <f t="shared" si="35"/>
        <v>-453</v>
      </c>
      <c r="I36" s="14">
        <f t="shared" si="35"/>
        <v>747</v>
      </c>
      <c r="J36" s="14">
        <f t="shared" si="35"/>
        <v>644</v>
      </c>
      <c r="K36" s="14">
        <f t="shared" si="35"/>
        <v>20</v>
      </c>
      <c r="L36" s="58">
        <f t="shared" si="35"/>
        <v>958</v>
      </c>
      <c r="M36" s="14">
        <f t="shared" si="35"/>
        <v>246</v>
      </c>
      <c r="N36" s="14">
        <f t="shared" si="35"/>
        <v>186</v>
      </c>
      <c r="O36" s="14">
        <f t="shared" si="35"/>
        <v>112</v>
      </c>
      <c r="P36" s="14">
        <f t="shared" si="35"/>
        <v>1949</v>
      </c>
      <c r="Q36" s="58">
        <f t="shared" si="35"/>
        <v>2493</v>
      </c>
      <c r="R36" s="14">
        <f t="shared" si="35"/>
        <v>4390</v>
      </c>
      <c r="S36" s="14">
        <v>263</v>
      </c>
      <c r="T36" s="73">
        <f t="shared" ref="T36:AE36" si="36">T30+T35</f>
        <v>-457</v>
      </c>
      <c r="U36" s="73">
        <f t="shared" si="36"/>
        <v>785</v>
      </c>
      <c r="V36" s="98">
        <f t="shared" si="36"/>
        <v>4981</v>
      </c>
      <c r="W36" s="133">
        <f t="shared" si="36"/>
        <v>-3400</v>
      </c>
      <c r="X36" s="133">
        <f t="shared" si="36"/>
        <v>-621</v>
      </c>
      <c r="Y36" s="133">
        <f t="shared" si="36"/>
        <v>44</v>
      </c>
      <c r="Z36" s="73">
        <f t="shared" si="36"/>
        <v>924</v>
      </c>
      <c r="AA36" s="98">
        <f t="shared" si="36"/>
        <v>-3053</v>
      </c>
      <c r="AB36" s="73">
        <f t="shared" si="36"/>
        <v>1099</v>
      </c>
      <c r="AC36" s="73">
        <f t="shared" si="36"/>
        <v>2266</v>
      </c>
      <c r="AD36" s="73">
        <f t="shared" si="36"/>
        <v>967</v>
      </c>
      <c r="AE36" s="73">
        <f t="shared" si="36"/>
        <v>2553</v>
      </c>
      <c r="AF36" s="98">
        <v>6885</v>
      </c>
    </row>
    <row r="37" spans="1:32" x14ac:dyDescent="0.25">
      <c r="B37" s="2"/>
      <c r="C37" s="7"/>
      <c r="D37" s="7"/>
      <c r="E37" s="7"/>
      <c r="F37" s="7"/>
      <c r="G37" s="45"/>
      <c r="H37" s="7"/>
      <c r="I37" s="7"/>
      <c r="J37" s="7"/>
      <c r="K37" s="7"/>
      <c r="L37" s="45"/>
      <c r="M37" s="7"/>
      <c r="N37" s="7"/>
      <c r="O37" s="7"/>
      <c r="P37" s="7"/>
      <c r="Q37" s="45"/>
      <c r="R37" s="7"/>
      <c r="S37" s="7"/>
      <c r="T37" s="67"/>
      <c r="U37" s="67"/>
      <c r="V37" s="92"/>
      <c r="W37" s="130"/>
      <c r="X37" s="130"/>
      <c r="Y37" s="130"/>
      <c r="Z37" s="67"/>
      <c r="AA37" s="92"/>
      <c r="AB37" s="67"/>
      <c r="AC37" s="67"/>
      <c r="AD37" s="67"/>
      <c r="AE37" s="67"/>
      <c r="AF37" s="92"/>
    </row>
    <row r="38" spans="1:32" x14ac:dyDescent="0.25">
      <c r="B38" s="1" t="s">
        <v>70</v>
      </c>
      <c r="C38" s="7"/>
      <c r="D38" s="7"/>
      <c r="E38" s="7"/>
      <c r="F38" s="7"/>
      <c r="G38" s="45"/>
      <c r="H38" s="7"/>
      <c r="I38" s="7"/>
      <c r="J38" s="7"/>
      <c r="K38" s="7"/>
      <c r="L38" s="45"/>
      <c r="M38" s="7"/>
      <c r="N38" s="7"/>
      <c r="O38" s="7"/>
      <c r="P38" s="7"/>
      <c r="Q38" s="45"/>
      <c r="R38" s="7"/>
      <c r="S38" s="7"/>
      <c r="T38" s="67"/>
      <c r="U38" s="67"/>
      <c r="V38" s="92"/>
      <c r="W38" s="130"/>
      <c r="X38" s="130"/>
      <c r="Y38" s="130"/>
      <c r="Z38" s="67"/>
      <c r="AA38" s="92"/>
      <c r="AB38" s="67"/>
      <c r="AC38" s="67"/>
      <c r="AD38" s="67"/>
      <c r="AE38" s="67"/>
      <c r="AF38" s="92"/>
    </row>
    <row r="39" spans="1:32" x14ac:dyDescent="0.25">
      <c r="B39" s="2" t="s">
        <v>71</v>
      </c>
      <c r="C39" s="20">
        <v>-79</v>
      </c>
      <c r="D39" s="20">
        <f>-97-C39</f>
        <v>-18</v>
      </c>
      <c r="E39" s="20">
        <f>-188-D39-C39</f>
        <v>-91</v>
      </c>
      <c r="F39" s="20">
        <f t="shared" ref="F39" si="37">G39-E39-D39-C39</f>
        <v>-112</v>
      </c>
      <c r="G39" s="48">
        <v>-300</v>
      </c>
      <c r="H39" s="20">
        <v>-93</v>
      </c>
      <c r="I39" s="20">
        <f>-286-H39</f>
        <v>-193</v>
      </c>
      <c r="J39" s="20">
        <f>-410-I39-H39</f>
        <v>-124</v>
      </c>
      <c r="K39" s="7">
        <f t="shared" ref="K39" si="38">L39-J39-I39-H39</f>
        <v>262</v>
      </c>
      <c r="L39" s="48">
        <v>-148</v>
      </c>
      <c r="M39" s="20">
        <v>-96</v>
      </c>
      <c r="N39" s="20">
        <v>-40</v>
      </c>
      <c r="O39" s="20"/>
      <c r="P39" s="20">
        <f t="shared" ref="P39" si="39">Q39-O39-N39-M39</f>
        <v>-47</v>
      </c>
      <c r="Q39" s="48">
        <v>-183</v>
      </c>
      <c r="R39" s="7">
        <v>1</v>
      </c>
      <c r="S39" s="20">
        <v>-37</v>
      </c>
      <c r="T39" s="70">
        <v>-1</v>
      </c>
      <c r="U39" s="70">
        <f>V39-SUM(R39:T39)</f>
        <v>-19</v>
      </c>
      <c r="V39" s="95">
        <v>-56</v>
      </c>
      <c r="W39" s="130">
        <v>-44</v>
      </c>
      <c r="X39" s="130">
        <v>-24</v>
      </c>
      <c r="Y39" s="130">
        <v>33</v>
      </c>
      <c r="Z39" s="67">
        <v>23</v>
      </c>
      <c r="AA39" s="92">
        <v>-12</v>
      </c>
      <c r="AB39" s="67">
        <v>29</v>
      </c>
      <c r="AC39" s="67">
        <v>7</v>
      </c>
      <c r="AD39" s="67">
        <v>101</v>
      </c>
      <c r="AE39" s="67">
        <v>98</v>
      </c>
      <c r="AF39" s="92">
        <v>235</v>
      </c>
    </row>
    <row r="40" spans="1:32" ht="14.95" thickBot="1" x14ac:dyDescent="0.3">
      <c r="B40" s="1" t="s">
        <v>212</v>
      </c>
      <c r="C40" s="15">
        <f t="shared" ref="C40:R40" si="40">C36+C39</f>
        <v>144</v>
      </c>
      <c r="D40" s="15">
        <f t="shared" si="40"/>
        <v>318</v>
      </c>
      <c r="E40" s="15">
        <f t="shared" si="40"/>
        <v>149</v>
      </c>
      <c r="F40" s="26">
        <f t="shared" si="40"/>
        <v>-1862</v>
      </c>
      <c r="G40" s="57">
        <f t="shared" si="40"/>
        <v>-1251</v>
      </c>
      <c r="H40" s="26">
        <f t="shared" si="40"/>
        <v>-546</v>
      </c>
      <c r="I40" s="15">
        <f t="shared" si="40"/>
        <v>554</v>
      </c>
      <c r="J40" s="15">
        <f t="shared" si="40"/>
        <v>520</v>
      </c>
      <c r="K40" s="15">
        <f t="shared" si="40"/>
        <v>282</v>
      </c>
      <c r="L40" s="59">
        <f t="shared" si="40"/>
        <v>810</v>
      </c>
      <c r="M40" s="15">
        <f t="shared" si="40"/>
        <v>150</v>
      </c>
      <c r="N40" s="15">
        <f t="shared" si="40"/>
        <v>146</v>
      </c>
      <c r="O40" s="15">
        <f t="shared" si="40"/>
        <v>112</v>
      </c>
      <c r="P40" s="15">
        <f t="shared" si="40"/>
        <v>1902</v>
      </c>
      <c r="Q40" s="59">
        <f t="shared" si="40"/>
        <v>2310</v>
      </c>
      <c r="R40" s="15">
        <f t="shared" si="40"/>
        <v>4391</v>
      </c>
      <c r="S40" s="15">
        <v>226</v>
      </c>
      <c r="T40" s="75">
        <f t="shared" ref="T40:AE40" si="41">T36+T39</f>
        <v>-458</v>
      </c>
      <c r="U40" s="75">
        <f t="shared" si="41"/>
        <v>766</v>
      </c>
      <c r="V40" s="100">
        <f t="shared" si="41"/>
        <v>4925</v>
      </c>
      <c r="W40" s="136">
        <f t="shared" si="41"/>
        <v>-3444</v>
      </c>
      <c r="X40" s="136">
        <f t="shared" si="41"/>
        <v>-645</v>
      </c>
      <c r="Y40" s="136">
        <f t="shared" si="41"/>
        <v>77</v>
      </c>
      <c r="Z40" s="75">
        <f t="shared" si="41"/>
        <v>947</v>
      </c>
      <c r="AA40" s="100">
        <f t="shared" si="41"/>
        <v>-3065</v>
      </c>
      <c r="AB40" s="75">
        <f t="shared" si="41"/>
        <v>1128</v>
      </c>
      <c r="AC40" s="75">
        <f t="shared" si="41"/>
        <v>2273</v>
      </c>
      <c r="AD40" s="75">
        <f t="shared" si="41"/>
        <v>1068</v>
      </c>
      <c r="AE40" s="75">
        <f t="shared" si="41"/>
        <v>2651</v>
      </c>
      <c r="AF40" s="100">
        <v>7120</v>
      </c>
    </row>
    <row r="41" spans="1:32" ht="14.95" thickTop="1" x14ac:dyDescent="0.25">
      <c r="B41" s="2"/>
      <c r="C41" s="7"/>
      <c r="D41" s="7"/>
      <c r="E41" s="7"/>
      <c r="F41" s="7"/>
      <c r="G41" s="45"/>
      <c r="H41" s="7"/>
      <c r="I41" s="7"/>
      <c r="J41" s="7"/>
      <c r="K41" s="7"/>
      <c r="L41" s="45"/>
      <c r="M41" s="7"/>
      <c r="N41" s="7"/>
      <c r="O41" s="7"/>
      <c r="P41" s="7"/>
      <c r="Q41" s="45"/>
      <c r="R41" s="7"/>
      <c r="S41" s="7"/>
      <c r="T41" s="67"/>
      <c r="U41" s="67"/>
      <c r="V41" s="92"/>
      <c r="W41" s="130"/>
      <c r="X41" s="130"/>
      <c r="Y41" s="130"/>
      <c r="Z41" s="67"/>
      <c r="AA41" s="92"/>
      <c r="AB41" s="67"/>
      <c r="AC41" s="67"/>
      <c r="AD41" s="67"/>
      <c r="AE41" s="67"/>
      <c r="AF41" s="92"/>
    </row>
    <row r="42" spans="1:32" x14ac:dyDescent="0.25">
      <c r="B42" s="2" t="s">
        <v>216</v>
      </c>
      <c r="C42" s="7">
        <v>148</v>
      </c>
      <c r="D42" s="7">
        <f>402-C42</f>
        <v>254</v>
      </c>
      <c r="E42" s="7">
        <f>505-D42-C42</f>
        <v>103</v>
      </c>
      <c r="F42" s="20">
        <f t="shared" ref="F42:F43" si="42">G42-E42-D42-C42</f>
        <v>-1801</v>
      </c>
      <c r="G42" s="48">
        <v>-1296</v>
      </c>
      <c r="H42" s="20">
        <v>-573</v>
      </c>
      <c r="I42" s="7">
        <f>10-H42</f>
        <v>583</v>
      </c>
      <c r="J42" s="7">
        <f>479-I42-H42</f>
        <v>469</v>
      </c>
      <c r="K42" s="7">
        <f t="shared" ref="K42:K43" si="43">L42-J42-I42-H42</f>
        <v>111</v>
      </c>
      <c r="L42" s="45">
        <v>590</v>
      </c>
      <c r="M42" s="7">
        <v>52</v>
      </c>
      <c r="N42" s="7">
        <v>157</v>
      </c>
      <c r="O42" s="7">
        <f>293-N42-M42</f>
        <v>84</v>
      </c>
      <c r="P42" s="7">
        <f t="shared" ref="P42:P43" si="44">Q42-O42-N42-M42</f>
        <v>1809</v>
      </c>
      <c r="Q42" s="45">
        <v>2102</v>
      </c>
      <c r="R42" s="7">
        <v>4388</v>
      </c>
      <c r="S42" s="7">
        <v>189</v>
      </c>
      <c r="T42" s="67">
        <v>-198</v>
      </c>
      <c r="U42" s="67">
        <f t="shared" ref="U42:U43" si="45">V42-SUM(R42:T42)</f>
        <v>791</v>
      </c>
      <c r="V42" s="92">
        <v>5170</v>
      </c>
      <c r="W42" s="130">
        <v>-2189</v>
      </c>
      <c r="X42" s="130">
        <v>-422</v>
      </c>
      <c r="Y42" s="130">
        <v>135</v>
      </c>
      <c r="Z42" s="67">
        <v>840</v>
      </c>
      <c r="AA42" s="92">
        <v>-1636</v>
      </c>
      <c r="AB42" s="67">
        <v>1018</v>
      </c>
      <c r="AC42" s="67">
        <v>1941</v>
      </c>
      <c r="AD42" s="67">
        <v>977</v>
      </c>
      <c r="AE42" s="67">
        <v>2464</v>
      </c>
      <c r="AF42" s="92">
        <v>6400</v>
      </c>
    </row>
    <row r="43" spans="1:32" x14ac:dyDescent="0.25">
      <c r="B43" s="2" t="s">
        <v>217</v>
      </c>
      <c r="C43" s="20">
        <v>-4</v>
      </c>
      <c r="D43" s="7">
        <f>60-C43</f>
        <v>64</v>
      </c>
      <c r="E43" s="7">
        <f>106-D43-C43</f>
        <v>46</v>
      </c>
      <c r="F43" s="20">
        <f t="shared" si="42"/>
        <v>-61</v>
      </c>
      <c r="G43" s="45">
        <v>45</v>
      </c>
      <c r="H43" s="7">
        <v>27</v>
      </c>
      <c r="I43" s="20">
        <f>-2-H43</f>
        <v>-29</v>
      </c>
      <c r="J43" s="7">
        <f>49-I43-H43</f>
        <v>51</v>
      </c>
      <c r="K43" s="7">
        <f t="shared" si="43"/>
        <v>171</v>
      </c>
      <c r="L43" s="45">
        <v>220</v>
      </c>
      <c r="M43" s="7">
        <v>98</v>
      </c>
      <c r="N43" s="20">
        <f>87-M43</f>
        <v>-11</v>
      </c>
      <c r="O43" s="7">
        <f>115-N43-M43</f>
        <v>28</v>
      </c>
      <c r="P43" s="7">
        <f t="shared" si="44"/>
        <v>93</v>
      </c>
      <c r="Q43" s="45">
        <v>208</v>
      </c>
      <c r="R43" s="7">
        <v>3</v>
      </c>
      <c r="S43" s="7">
        <v>36</v>
      </c>
      <c r="T43" s="67">
        <v>-260</v>
      </c>
      <c r="U43" s="67">
        <f t="shared" si="45"/>
        <v>-24</v>
      </c>
      <c r="V43" s="92">
        <v>-245</v>
      </c>
      <c r="W43" s="130">
        <v>-1255</v>
      </c>
      <c r="X43" s="130">
        <v>-223</v>
      </c>
      <c r="Y43" s="130">
        <v>-58</v>
      </c>
      <c r="Z43" s="67">
        <v>107</v>
      </c>
      <c r="AA43" s="92">
        <v>-1429</v>
      </c>
      <c r="AB43" s="67">
        <v>110</v>
      </c>
      <c r="AC43" s="67">
        <v>332</v>
      </c>
      <c r="AD43" s="67">
        <v>91</v>
      </c>
      <c r="AE43" s="67">
        <v>187</v>
      </c>
      <c r="AF43" s="92">
        <v>720</v>
      </c>
    </row>
    <row r="44" spans="1:32" ht="14.95" thickBot="1" x14ac:dyDescent="0.3">
      <c r="B44" s="1" t="s">
        <v>215</v>
      </c>
      <c r="C44" s="15">
        <f t="shared" ref="C44:R44" si="46">C42+C43</f>
        <v>144</v>
      </c>
      <c r="D44" s="15">
        <f t="shared" si="46"/>
        <v>318</v>
      </c>
      <c r="E44" s="15">
        <f t="shared" si="46"/>
        <v>149</v>
      </c>
      <c r="F44" s="26">
        <f t="shared" si="46"/>
        <v>-1862</v>
      </c>
      <c r="G44" s="57">
        <f t="shared" si="46"/>
        <v>-1251</v>
      </c>
      <c r="H44" s="26">
        <f t="shared" si="46"/>
        <v>-546</v>
      </c>
      <c r="I44" s="15">
        <f t="shared" si="46"/>
        <v>554</v>
      </c>
      <c r="J44" s="15">
        <f t="shared" si="46"/>
        <v>520</v>
      </c>
      <c r="K44" s="15">
        <f t="shared" si="46"/>
        <v>282</v>
      </c>
      <c r="L44" s="59">
        <f t="shared" si="46"/>
        <v>810</v>
      </c>
      <c r="M44" s="15">
        <f t="shared" si="46"/>
        <v>150</v>
      </c>
      <c r="N44" s="15">
        <f t="shared" si="46"/>
        <v>146</v>
      </c>
      <c r="O44" s="15">
        <f t="shared" si="46"/>
        <v>112</v>
      </c>
      <c r="P44" s="15">
        <f t="shared" si="46"/>
        <v>1902</v>
      </c>
      <c r="Q44" s="59">
        <f t="shared" si="46"/>
        <v>2310</v>
      </c>
      <c r="R44" s="15">
        <f t="shared" si="46"/>
        <v>4391</v>
      </c>
      <c r="S44" s="15">
        <v>225</v>
      </c>
      <c r="T44" s="75">
        <f t="shared" ref="T44:AE44" si="47">T42+T43</f>
        <v>-458</v>
      </c>
      <c r="U44" s="75">
        <f t="shared" si="47"/>
        <v>767</v>
      </c>
      <c r="V44" s="100">
        <f t="shared" si="47"/>
        <v>4925</v>
      </c>
      <c r="W44" s="136">
        <f t="shared" si="47"/>
        <v>-3444</v>
      </c>
      <c r="X44" s="136">
        <f t="shared" si="47"/>
        <v>-645</v>
      </c>
      <c r="Y44" s="136">
        <f t="shared" si="47"/>
        <v>77</v>
      </c>
      <c r="Z44" s="75">
        <f t="shared" si="47"/>
        <v>947</v>
      </c>
      <c r="AA44" s="100">
        <f t="shared" si="47"/>
        <v>-3065</v>
      </c>
      <c r="AB44" s="75">
        <f t="shared" si="47"/>
        <v>1128</v>
      </c>
      <c r="AC44" s="75">
        <f t="shared" si="47"/>
        <v>2273</v>
      </c>
      <c r="AD44" s="75">
        <f t="shared" si="47"/>
        <v>1068</v>
      </c>
      <c r="AE44" s="75">
        <f t="shared" si="47"/>
        <v>2651</v>
      </c>
      <c r="AF44" s="100">
        <v>7120</v>
      </c>
    </row>
    <row r="45" spans="1:32" ht="14.95" thickTop="1" x14ac:dyDescent="0.25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V45" s="7"/>
      <c r="AC45" s="7"/>
      <c r="AD45" s="7"/>
      <c r="AE45" s="7"/>
      <c r="AF45" s="7"/>
    </row>
    <row r="46" spans="1:32" x14ac:dyDescent="0.25">
      <c r="A46" s="32"/>
      <c r="B46" s="33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V46" s="7"/>
      <c r="AC46" s="7"/>
      <c r="AD46" s="7"/>
      <c r="AE46" s="7"/>
      <c r="AF46" s="7"/>
    </row>
    <row r="47" spans="1:32" x14ac:dyDescent="0.25">
      <c r="B47" s="138" t="s">
        <v>200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V47" s="7"/>
      <c r="AC47" s="7"/>
      <c r="AD47" s="7"/>
      <c r="AE47" s="7"/>
      <c r="AF47" s="7"/>
    </row>
    <row r="48" spans="1:32" x14ac:dyDescent="0.25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V48" s="7"/>
      <c r="AC48" s="7"/>
      <c r="AD48" s="7"/>
      <c r="AE48" s="7"/>
      <c r="AF48" s="7"/>
    </row>
    <row r="49" spans="3:32" x14ac:dyDescent="0.25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V49" s="7"/>
      <c r="AC49" s="7"/>
      <c r="AD49" s="7"/>
      <c r="AE49" s="7"/>
      <c r="AF49" s="7"/>
    </row>
    <row r="50" spans="3:32" x14ac:dyDescent="0.25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V50" s="7"/>
      <c r="AC50" s="7"/>
      <c r="AD50" s="7"/>
      <c r="AE50" s="7"/>
      <c r="AF50" s="7"/>
    </row>
    <row r="51" spans="3:32" x14ac:dyDescent="0.25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V51" s="7"/>
      <c r="AC51" s="7"/>
      <c r="AD51" s="7"/>
      <c r="AE51" s="7"/>
      <c r="AF51" s="7"/>
    </row>
    <row r="52" spans="3:32" x14ac:dyDescent="0.25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V52" s="7"/>
      <c r="AC52" s="7"/>
      <c r="AD52" s="7"/>
      <c r="AE52" s="7"/>
      <c r="AF52" s="7"/>
    </row>
    <row r="53" spans="3:32" x14ac:dyDescent="0.25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V53" s="7"/>
      <c r="AC53" s="7"/>
      <c r="AD53" s="7"/>
      <c r="AE53" s="7"/>
      <c r="AF53" s="7"/>
    </row>
  </sheetData>
  <mergeCells count="6">
    <mergeCell ref="AB4:AF5"/>
    <mergeCell ref="C4:G5"/>
    <mergeCell ref="H4:L5"/>
    <mergeCell ref="M4:Q5"/>
    <mergeCell ref="R4:V5"/>
    <mergeCell ref="W4:AA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6 L6 C4 H4 M4 Q7:V7 Q8:R44 V8:V13 Q6:T6 T8:T44 V16:V24 V29:V38 V40:V44" numberStoredAsText="1"/>
    <ignoredError sqref="U8:U44" numberStoredAsText="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105"/>
  <sheetViews>
    <sheetView showGridLines="0" zoomScale="85" zoomScaleNormal="85" workbookViewId="0">
      <pane xSplit="2" ySplit="6" topLeftCell="C7" activePane="bottomRight" state="frozen"/>
      <selection activeCell="E24" sqref="E24"/>
      <selection pane="topRight" activeCell="E24" sqref="E24"/>
      <selection pane="bottomLeft" activeCell="E24" sqref="E24"/>
      <selection pane="bottomRight"/>
    </sheetView>
  </sheetViews>
  <sheetFormatPr defaultColWidth="9.125" defaultRowHeight="14.3" x14ac:dyDescent="0.25"/>
  <cols>
    <col min="1" max="1" width="3.375" style="102" customWidth="1"/>
    <col min="2" max="2" width="83.375" style="102" bestFit="1" customWidth="1"/>
    <col min="3" max="13" width="18" style="102" customWidth="1"/>
    <col min="14" max="14" width="18" style="104" customWidth="1"/>
    <col min="15" max="32" width="18" style="102" customWidth="1"/>
    <col min="33" max="16384" width="9.125" style="102"/>
  </cols>
  <sheetData>
    <row r="1" spans="2:32" customFormat="1" x14ac:dyDescent="0.25">
      <c r="N1" s="66"/>
      <c r="U1" s="102"/>
      <c r="Z1" s="102"/>
      <c r="AB1" s="102"/>
      <c r="AC1" s="102"/>
      <c r="AD1" s="102"/>
      <c r="AE1" s="102"/>
    </row>
    <row r="2" spans="2:32" customFormat="1" x14ac:dyDescent="0.25">
      <c r="F2" s="30"/>
      <c r="H2" s="30"/>
      <c r="K2" s="30"/>
      <c r="N2" s="66"/>
      <c r="P2" s="30"/>
      <c r="U2" s="102"/>
      <c r="Z2" s="102"/>
      <c r="AB2" s="102"/>
      <c r="AC2" s="102"/>
      <c r="AD2" s="102"/>
      <c r="AE2" s="102"/>
    </row>
    <row r="3" spans="2:32" customFormat="1" x14ac:dyDescent="0.25">
      <c r="N3" s="66"/>
      <c r="U3" s="102"/>
      <c r="Z3" s="102"/>
      <c r="AB3" s="102"/>
      <c r="AC3" s="102"/>
      <c r="AD3" s="102"/>
      <c r="AE3" s="102"/>
    </row>
    <row r="4" spans="2:32" customFormat="1" ht="14.95" customHeight="1" x14ac:dyDescent="0.25">
      <c r="B4" s="3"/>
      <c r="C4" s="149" t="s">
        <v>0</v>
      </c>
      <c r="D4" s="149"/>
      <c r="E4" s="149"/>
      <c r="F4" s="149"/>
      <c r="G4" s="149"/>
      <c r="H4" s="150" t="s">
        <v>1</v>
      </c>
      <c r="I4" s="150"/>
      <c r="J4" s="150"/>
      <c r="K4" s="150"/>
      <c r="L4" s="150"/>
      <c r="M4" s="150" t="s">
        <v>2</v>
      </c>
      <c r="N4" s="150"/>
      <c r="O4" s="150"/>
      <c r="P4" s="150"/>
      <c r="Q4" s="150"/>
      <c r="R4" s="148">
        <v>2019</v>
      </c>
      <c r="S4" s="148"/>
      <c r="T4" s="148"/>
      <c r="U4" s="148"/>
      <c r="V4" s="148"/>
      <c r="W4" s="148">
        <v>2020</v>
      </c>
      <c r="X4" s="148"/>
      <c r="Y4" s="148"/>
      <c r="Z4" s="148"/>
      <c r="AA4" s="148"/>
      <c r="AB4" s="148">
        <v>2021</v>
      </c>
      <c r="AC4" s="148"/>
      <c r="AD4" s="148"/>
      <c r="AE4" s="148"/>
      <c r="AF4" s="148"/>
    </row>
    <row r="5" spans="2:32" customFormat="1" ht="15.65" x14ac:dyDescent="0.25">
      <c r="B5" s="4" t="s">
        <v>167</v>
      </c>
      <c r="C5" s="149"/>
      <c r="D5" s="149"/>
      <c r="E5" s="149"/>
      <c r="F5" s="149"/>
      <c r="G5" s="149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</row>
    <row r="6" spans="2:32" customFormat="1" ht="15.65" x14ac:dyDescent="0.25">
      <c r="B6" s="4" t="s">
        <v>132</v>
      </c>
      <c r="C6" s="42" t="s">
        <v>134</v>
      </c>
      <c r="D6" s="42" t="s">
        <v>135</v>
      </c>
      <c r="E6" s="42" t="s">
        <v>136</v>
      </c>
      <c r="F6" s="42" t="s">
        <v>137</v>
      </c>
      <c r="G6" s="42" t="s">
        <v>0</v>
      </c>
      <c r="H6" s="42" t="s">
        <v>138</v>
      </c>
      <c r="I6" s="42" t="s">
        <v>139</v>
      </c>
      <c r="J6" s="42" t="s">
        <v>140</v>
      </c>
      <c r="K6" s="42" t="s">
        <v>141</v>
      </c>
      <c r="L6" s="42" t="s">
        <v>1</v>
      </c>
      <c r="M6" s="42" t="s">
        <v>142</v>
      </c>
      <c r="N6" s="42" t="s">
        <v>143</v>
      </c>
      <c r="O6" s="42" t="s">
        <v>144</v>
      </c>
      <c r="P6" s="42" t="s">
        <v>145</v>
      </c>
      <c r="Q6" s="91" t="s">
        <v>2</v>
      </c>
      <c r="R6" s="6" t="s">
        <v>187</v>
      </c>
      <c r="S6" s="6" t="s">
        <v>172</v>
      </c>
      <c r="T6" s="6" t="s">
        <v>180</v>
      </c>
      <c r="U6" s="127" t="s">
        <v>182</v>
      </c>
      <c r="V6" s="91" t="s">
        <v>181</v>
      </c>
      <c r="W6" s="6" t="s">
        <v>183</v>
      </c>
      <c r="X6" s="6" t="s">
        <v>193</v>
      </c>
      <c r="Y6" s="6" t="s">
        <v>194</v>
      </c>
      <c r="Z6" s="127" t="s">
        <v>197</v>
      </c>
      <c r="AA6" s="91" t="s">
        <v>196</v>
      </c>
      <c r="AB6" s="127" t="s">
        <v>201</v>
      </c>
      <c r="AC6" s="127" t="s">
        <v>204</v>
      </c>
      <c r="AD6" s="127" t="s">
        <v>207</v>
      </c>
      <c r="AE6" s="127" t="s">
        <v>225</v>
      </c>
      <c r="AF6" s="43">
        <v>2021</v>
      </c>
    </row>
    <row r="7" spans="2:32" x14ac:dyDescent="0.25">
      <c r="B7" s="101" t="s">
        <v>74</v>
      </c>
      <c r="G7" s="103"/>
      <c r="L7" s="103"/>
      <c r="Q7" s="103"/>
      <c r="V7" s="103"/>
      <c r="AA7" s="103"/>
      <c r="AF7" s="103"/>
    </row>
    <row r="8" spans="2:32" x14ac:dyDescent="0.25">
      <c r="B8" s="101"/>
      <c r="G8" s="103"/>
      <c r="L8" s="103"/>
      <c r="Q8" s="103"/>
      <c r="V8" s="103"/>
      <c r="AA8" s="103"/>
      <c r="AF8" s="103"/>
    </row>
    <row r="9" spans="2:32" s="108" customFormat="1" x14ac:dyDescent="0.25">
      <c r="B9" s="105" t="s">
        <v>67</v>
      </c>
      <c r="C9" s="76">
        <v>365</v>
      </c>
      <c r="D9" s="76">
        <f>699-C9</f>
        <v>334</v>
      </c>
      <c r="E9" s="76">
        <f>987-C9-D9</f>
        <v>288</v>
      </c>
      <c r="F9" s="69">
        <f>G9-SUM(C9:E9)</f>
        <v>-2327</v>
      </c>
      <c r="G9" s="106">
        <v>-1340</v>
      </c>
      <c r="H9" s="69">
        <v>-357</v>
      </c>
      <c r="I9" s="76">
        <f>546-H9</f>
        <v>903</v>
      </c>
      <c r="J9" s="76">
        <f>1097-I9-H9</f>
        <v>551</v>
      </c>
      <c r="K9" s="69">
        <f>L9-SUM(H9:J9)</f>
        <v>-3</v>
      </c>
      <c r="L9" s="107">
        <v>1094</v>
      </c>
      <c r="M9" s="76">
        <v>502</v>
      </c>
      <c r="N9" s="76">
        <v>276</v>
      </c>
      <c r="O9" s="76">
        <f>977-N9-M9</f>
        <v>199</v>
      </c>
      <c r="P9" s="76">
        <f>Q9-SUM(M9:O9)</f>
        <v>2527</v>
      </c>
      <c r="Q9" s="107">
        <v>3504</v>
      </c>
      <c r="R9" s="76">
        <v>6764</v>
      </c>
      <c r="S9" s="76">
        <v>358</v>
      </c>
      <c r="T9" s="76">
        <v>-648</v>
      </c>
      <c r="U9" s="76">
        <f>V9-SUM(R9:T9)</f>
        <v>654</v>
      </c>
      <c r="V9" s="107">
        <v>7128</v>
      </c>
      <c r="W9" s="76">
        <v>-3810</v>
      </c>
      <c r="X9" s="76">
        <v>-607</v>
      </c>
      <c r="Y9" s="76">
        <v>621</v>
      </c>
      <c r="Z9" s="76">
        <v>2322</v>
      </c>
      <c r="AA9" s="107">
        <v>-1474</v>
      </c>
      <c r="AB9" s="76">
        <v>1713</v>
      </c>
      <c r="AC9" s="76">
        <v>3214</v>
      </c>
      <c r="AD9" s="76">
        <v>1545</v>
      </c>
      <c r="AE9" s="76">
        <v>3845</v>
      </c>
      <c r="AF9" s="107">
        <f>SUM(AB9:AE9)</f>
        <v>10317</v>
      </c>
    </row>
    <row r="10" spans="2:32" x14ac:dyDescent="0.25">
      <c r="B10" s="109"/>
      <c r="C10" s="67"/>
      <c r="D10" s="67"/>
      <c r="E10" s="67"/>
      <c r="F10" s="67"/>
      <c r="G10" s="110"/>
      <c r="H10" s="67"/>
      <c r="I10" s="67"/>
      <c r="J10" s="67"/>
      <c r="K10" s="67"/>
      <c r="L10" s="110"/>
      <c r="M10" s="67"/>
      <c r="N10" s="67"/>
      <c r="O10" s="67"/>
      <c r="P10" s="67"/>
      <c r="Q10" s="110"/>
      <c r="R10" s="67"/>
      <c r="S10" s="67"/>
      <c r="T10" s="67"/>
      <c r="U10" s="67"/>
      <c r="V10" s="110"/>
      <c r="W10" s="67"/>
      <c r="X10" s="67"/>
      <c r="Y10" s="67"/>
      <c r="Z10" s="67"/>
      <c r="AA10" s="110"/>
      <c r="AB10" s="67"/>
      <c r="AC10" s="67"/>
      <c r="AD10" s="67"/>
      <c r="AE10" s="67"/>
      <c r="AF10" s="110"/>
    </row>
    <row r="11" spans="2:32" x14ac:dyDescent="0.25">
      <c r="B11" s="109" t="s">
        <v>71</v>
      </c>
      <c r="C11" s="70">
        <v>-79</v>
      </c>
      <c r="D11" s="70">
        <f>-97-C11</f>
        <v>-18</v>
      </c>
      <c r="E11" s="70">
        <f>-188-C11-D11</f>
        <v>-91</v>
      </c>
      <c r="F11" s="70">
        <f>G11-SUM(C11:E11)</f>
        <v>-112</v>
      </c>
      <c r="G11" s="111">
        <v>-300</v>
      </c>
      <c r="H11" s="70">
        <v>-93</v>
      </c>
      <c r="I11" s="70">
        <f>-286-H11</f>
        <v>-193</v>
      </c>
      <c r="J11" s="70">
        <f>-410-H11-I11</f>
        <v>-124</v>
      </c>
      <c r="K11" s="67">
        <f>L11-SUM(H11:J11)</f>
        <v>262</v>
      </c>
      <c r="L11" s="111">
        <v>-148</v>
      </c>
      <c r="M11" s="70">
        <v>-96</v>
      </c>
      <c r="N11" s="70">
        <v>-40</v>
      </c>
      <c r="O11" s="67">
        <f>-136-M11-N11</f>
        <v>0</v>
      </c>
      <c r="P11" s="70">
        <f>Q11-SUM(M11:O11)</f>
        <v>-47</v>
      </c>
      <c r="Q11" s="111">
        <v>-183</v>
      </c>
      <c r="R11" s="67">
        <v>1</v>
      </c>
      <c r="S11" s="70">
        <v>-37</v>
      </c>
      <c r="T11" s="70">
        <v>-1</v>
      </c>
      <c r="U11" s="70">
        <f t="shared" ref="U11:U81" si="0">V11-SUM(R11:T11)</f>
        <v>0</v>
      </c>
      <c r="V11" s="111">
        <v>-37</v>
      </c>
      <c r="W11" s="67">
        <v>0</v>
      </c>
      <c r="X11" s="67">
        <v>-1</v>
      </c>
      <c r="Y11" s="67">
        <v>0</v>
      </c>
      <c r="Z11" s="70">
        <v>2</v>
      </c>
      <c r="AA11" s="111">
        <v>1</v>
      </c>
      <c r="AB11" s="70">
        <v>0</v>
      </c>
      <c r="AC11" s="67">
        <v>0</v>
      </c>
      <c r="AD11" s="67">
        <v>0</v>
      </c>
      <c r="AE11" s="67">
        <v>235</v>
      </c>
      <c r="AF11" s="110">
        <f>SUM(AB11:AE11)</f>
        <v>235</v>
      </c>
    </row>
    <row r="12" spans="2:32" x14ac:dyDescent="0.25">
      <c r="B12" s="109"/>
      <c r="C12" s="70"/>
      <c r="D12" s="70"/>
      <c r="E12" s="70"/>
      <c r="F12" s="70"/>
      <c r="G12" s="111"/>
      <c r="H12" s="70"/>
      <c r="I12" s="70"/>
      <c r="J12" s="70"/>
      <c r="K12" s="67"/>
      <c r="L12" s="111"/>
      <c r="M12" s="70"/>
      <c r="N12" s="70"/>
      <c r="O12" s="67"/>
      <c r="P12" s="70"/>
      <c r="Q12" s="111"/>
      <c r="R12" s="67"/>
      <c r="S12" s="67"/>
      <c r="T12" s="67"/>
      <c r="U12" s="67"/>
      <c r="V12" s="111"/>
      <c r="W12" s="67"/>
      <c r="X12" s="67"/>
      <c r="Y12" s="67"/>
      <c r="Z12" s="67"/>
      <c r="AA12" s="111"/>
      <c r="AB12" s="67"/>
      <c r="AC12" s="67"/>
      <c r="AD12" s="67"/>
      <c r="AE12" s="67"/>
      <c r="AF12" s="110"/>
    </row>
    <row r="13" spans="2:32" x14ac:dyDescent="0.25">
      <c r="B13" s="109" t="s">
        <v>75</v>
      </c>
      <c r="C13" s="67"/>
      <c r="D13" s="67"/>
      <c r="E13" s="67"/>
      <c r="F13" s="67"/>
      <c r="G13" s="110"/>
      <c r="H13" s="67"/>
      <c r="I13" s="67"/>
      <c r="J13" s="67"/>
      <c r="K13" s="70"/>
      <c r="L13" s="111"/>
      <c r="M13" s="67"/>
      <c r="N13" s="70"/>
      <c r="O13" s="70"/>
      <c r="P13" s="67"/>
      <c r="Q13" s="111"/>
      <c r="R13" s="70"/>
      <c r="S13" s="70"/>
      <c r="T13" s="70"/>
      <c r="U13" s="70"/>
      <c r="V13" s="111"/>
      <c r="W13" s="70"/>
      <c r="X13" s="70"/>
      <c r="Y13" s="70"/>
      <c r="Z13" s="70"/>
      <c r="AA13" s="111"/>
      <c r="AB13" s="70"/>
      <c r="AC13" s="67"/>
      <c r="AD13" s="67"/>
      <c r="AE13" s="67"/>
      <c r="AF13" s="110"/>
    </row>
    <row r="14" spans="2:32" x14ac:dyDescent="0.25">
      <c r="B14" s="112" t="s">
        <v>123</v>
      </c>
      <c r="C14" s="67">
        <v>0</v>
      </c>
      <c r="D14" s="67">
        <v>0</v>
      </c>
      <c r="E14" s="67">
        <v>0</v>
      </c>
      <c r="F14" s="67">
        <f t="shared" ref="F14:F39" si="1">G14-SUM(C14:E14)</f>
        <v>0</v>
      </c>
      <c r="G14" s="110">
        <v>0</v>
      </c>
      <c r="H14" s="67">
        <v>0</v>
      </c>
      <c r="I14" s="67">
        <v>0</v>
      </c>
      <c r="J14" s="67">
        <v>0</v>
      </c>
      <c r="K14" s="70">
        <f t="shared" ref="K14:K39" si="2">L14-SUM(H14:J14)</f>
        <v>-23</v>
      </c>
      <c r="L14" s="111">
        <f>-133-118+228</f>
        <v>-23</v>
      </c>
      <c r="M14" s="67">
        <v>0</v>
      </c>
      <c r="N14" s="67">
        <v>0</v>
      </c>
      <c r="O14" s="67">
        <v>0</v>
      </c>
      <c r="P14" s="67">
        <f t="shared" ref="P14:P39" si="3">Q14-SUM(M14:O14)</f>
        <v>0</v>
      </c>
      <c r="Q14" s="110">
        <v>0</v>
      </c>
      <c r="R14" s="67">
        <v>0</v>
      </c>
      <c r="S14" s="67">
        <v>0</v>
      </c>
      <c r="T14" s="67">
        <v>0</v>
      </c>
      <c r="U14" s="67">
        <f t="shared" si="0"/>
        <v>0</v>
      </c>
      <c r="V14" s="110">
        <v>0</v>
      </c>
      <c r="W14" s="67">
        <v>0</v>
      </c>
      <c r="X14" s="67">
        <v>0</v>
      </c>
      <c r="Y14" s="67">
        <v>0</v>
      </c>
      <c r="Z14" s="67">
        <v>0</v>
      </c>
      <c r="AA14" s="110">
        <v>0</v>
      </c>
      <c r="AB14" s="67">
        <v>0</v>
      </c>
      <c r="AC14" s="67">
        <v>0</v>
      </c>
      <c r="AD14" s="67">
        <v>0</v>
      </c>
      <c r="AE14" s="67"/>
      <c r="AF14" s="110">
        <f t="shared" ref="AF14:AF39" si="4">SUM(AB14:AE14)</f>
        <v>0</v>
      </c>
    </row>
    <row r="15" spans="2:32" x14ac:dyDescent="0.25">
      <c r="B15" s="109" t="s">
        <v>227</v>
      </c>
      <c r="C15" s="67">
        <v>688</v>
      </c>
      <c r="D15" s="67">
        <f>1340-C15</f>
        <v>652</v>
      </c>
      <c r="E15" s="67">
        <f>1961-C15-D15</f>
        <v>621</v>
      </c>
      <c r="F15" s="67">
        <f t="shared" si="1"/>
        <v>642</v>
      </c>
      <c r="G15" s="110">
        <v>2603</v>
      </c>
      <c r="H15" s="67">
        <v>592</v>
      </c>
      <c r="I15" s="67">
        <f>1171-H15</f>
        <v>579</v>
      </c>
      <c r="J15" s="67">
        <f>1730-H15-I15</f>
        <v>559</v>
      </c>
      <c r="K15" s="67">
        <f t="shared" si="2"/>
        <v>595</v>
      </c>
      <c r="L15" s="110">
        <v>2325</v>
      </c>
      <c r="M15" s="67">
        <v>595</v>
      </c>
      <c r="N15" s="67">
        <v>622</v>
      </c>
      <c r="O15" s="67">
        <f>1876-M15-N15</f>
        <v>659</v>
      </c>
      <c r="P15" s="67">
        <f t="shared" si="3"/>
        <v>579</v>
      </c>
      <c r="Q15" s="110">
        <v>2455</v>
      </c>
      <c r="R15" s="67">
        <v>729</v>
      </c>
      <c r="S15" s="67">
        <v>762</v>
      </c>
      <c r="T15" s="67">
        <v>802</v>
      </c>
      <c r="U15" s="67">
        <f t="shared" si="0"/>
        <v>774</v>
      </c>
      <c r="V15" s="110">
        <v>3067</v>
      </c>
      <c r="W15" s="67">
        <v>756</v>
      </c>
      <c r="X15" s="67">
        <v>793</v>
      </c>
      <c r="Y15" s="67">
        <v>871</v>
      </c>
      <c r="Z15" s="67">
        <v>873</v>
      </c>
      <c r="AA15" s="110">
        <v>3293</v>
      </c>
      <c r="AB15" s="67">
        <v>847</v>
      </c>
      <c r="AC15" s="67">
        <v>920</v>
      </c>
      <c r="AD15" s="67">
        <v>949</v>
      </c>
      <c r="AE15" s="67">
        <v>921</v>
      </c>
      <c r="AF15" s="110">
        <f t="shared" si="4"/>
        <v>3637</v>
      </c>
    </row>
    <row r="16" spans="2:32" x14ac:dyDescent="0.25">
      <c r="B16" s="109" t="s">
        <v>226</v>
      </c>
      <c r="C16" s="67">
        <v>0</v>
      </c>
      <c r="D16" s="67">
        <v>0</v>
      </c>
      <c r="E16" s="67">
        <v>0</v>
      </c>
      <c r="F16" s="67">
        <v>0</v>
      </c>
      <c r="G16" s="110">
        <v>0</v>
      </c>
      <c r="H16" s="67">
        <v>0</v>
      </c>
      <c r="I16" s="67">
        <v>0</v>
      </c>
      <c r="J16" s="67">
        <v>0</v>
      </c>
      <c r="K16" s="67">
        <v>0</v>
      </c>
      <c r="L16" s="110">
        <v>0</v>
      </c>
      <c r="M16" s="67">
        <v>0</v>
      </c>
      <c r="N16" s="67">
        <v>0</v>
      </c>
      <c r="O16" s="67">
        <v>0</v>
      </c>
      <c r="P16" s="67">
        <v>0</v>
      </c>
      <c r="Q16" s="110">
        <v>0</v>
      </c>
      <c r="R16" s="67">
        <v>0</v>
      </c>
      <c r="S16" s="67">
        <v>0</v>
      </c>
      <c r="T16" s="67">
        <v>0</v>
      </c>
      <c r="U16" s="67">
        <v>0</v>
      </c>
      <c r="V16" s="110">
        <v>0</v>
      </c>
      <c r="W16" s="67">
        <v>0</v>
      </c>
      <c r="X16" s="67">
        <v>0</v>
      </c>
      <c r="Y16" s="67">
        <v>0</v>
      </c>
      <c r="Z16" s="67">
        <v>0</v>
      </c>
      <c r="AA16" s="110">
        <v>0</v>
      </c>
      <c r="AB16" s="67">
        <v>0</v>
      </c>
      <c r="AC16" s="67">
        <v>0</v>
      </c>
      <c r="AD16" s="67">
        <v>0</v>
      </c>
      <c r="AE16" s="67">
        <v>90</v>
      </c>
      <c r="AF16" s="110">
        <f t="shared" si="4"/>
        <v>90</v>
      </c>
    </row>
    <row r="17" spans="2:32" x14ac:dyDescent="0.25">
      <c r="B17" s="109" t="s">
        <v>76</v>
      </c>
      <c r="C17" s="70">
        <v>-291</v>
      </c>
      <c r="D17" s="70">
        <f>-586-C17</f>
        <v>-295</v>
      </c>
      <c r="E17" s="67">
        <f>-558-C17-D17</f>
        <v>28</v>
      </c>
      <c r="F17" s="70">
        <f t="shared" si="1"/>
        <v>-166</v>
      </c>
      <c r="G17" s="111">
        <v>-724</v>
      </c>
      <c r="H17" s="70">
        <v>-134</v>
      </c>
      <c r="I17" s="70">
        <f>-484-H17</f>
        <v>-350</v>
      </c>
      <c r="J17" s="70">
        <f>-931-H17-I17</f>
        <v>-447</v>
      </c>
      <c r="K17" s="70">
        <f t="shared" si="2"/>
        <v>-288</v>
      </c>
      <c r="L17" s="111">
        <v>-1219</v>
      </c>
      <c r="M17" s="70">
        <v>-389</v>
      </c>
      <c r="N17" s="70">
        <v>-115</v>
      </c>
      <c r="O17" s="70">
        <f>-562-M17-N17</f>
        <v>-58</v>
      </c>
      <c r="P17" s="70">
        <f t="shared" si="3"/>
        <v>-556</v>
      </c>
      <c r="Q17" s="111">
        <v>-1118</v>
      </c>
      <c r="R17" s="70">
        <v>-89</v>
      </c>
      <c r="S17" s="70">
        <v>-215</v>
      </c>
      <c r="T17" s="70">
        <v>-41</v>
      </c>
      <c r="U17" s="70">
        <f t="shared" si="0"/>
        <v>-574</v>
      </c>
      <c r="V17" s="111">
        <v>-919</v>
      </c>
      <c r="W17" s="70">
        <v>133</v>
      </c>
      <c r="X17" s="70">
        <v>79</v>
      </c>
      <c r="Y17" s="70">
        <v>-238</v>
      </c>
      <c r="Z17" s="70">
        <v>-701</v>
      </c>
      <c r="AA17" s="111">
        <v>-727</v>
      </c>
      <c r="AB17" s="70">
        <v>-97</v>
      </c>
      <c r="AC17" s="67">
        <v>-369</v>
      </c>
      <c r="AD17" s="67">
        <v>150</v>
      </c>
      <c r="AE17" s="67">
        <v>-269</v>
      </c>
      <c r="AF17" s="110">
        <f t="shared" si="4"/>
        <v>-585</v>
      </c>
    </row>
    <row r="18" spans="2:32" x14ac:dyDescent="0.25">
      <c r="B18" s="109" t="s">
        <v>77</v>
      </c>
      <c r="C18" s="67">
        <v>0</v>
      </c>
      <c r="D18" s="67">
        <v>0</v>
      </c>
      <c r="E18" s="67">
        <v>0</v>
      </c>
      <c r="F18" s="67">
        <v>0</v>
      </c>
      <c r="G18" s="110">
        <v>0</v>
      </c>
      <c r="H18" s="67">
        <v>0</v>
      </c>
      <c r="I18" s="67">
        <v>0</v>
      </c>
      <c r="J18" s="67">
        <v>0</v>
      </c>
      <c r="K18" s="67">
        <v>0</v>
      </c>
      <c r="L18" s="110">
        <v>0</v>
      </c>
      <c r="M18" s="67">
        <v>0</v>
      </c>
      <c r="N18" s="67">
        <v>0</v>
      </c>
      <c r="O18" s="67">
        <v>0</v>
      </c>
      <c r="P18" s="70">
        <f t="shared" si="3"/>
        <v>-820</v>
      </c>
      <c r="Q18" s="111">
        <v>-820</v>
      </c>
      <c r="R18" s="67">
        <v>0</v>
      </c>
      <c r="S18" s="67">
        <v>0</v>
      </c>
      <c r="T18" s="67">
        <v>0</v>
      </c>
      <c r="U18" s="67">
        <f t="shared" si="0"/>
        <v>0</v>
      </c>
      <c r="V18" s="111">
        <v>0</v>
      </c>
      <c r="W18" s="67">
        <v>0</v>
      </c>
      <c r="X18" s="67">
        <v>0</v>
      </c>
      <c r="Y18" s="67">
        <v>0</v>
      </c>
      <c r="Z18" s="67">
        <v>0</v>
      </c>
      <c r="AA18" s="111">
        <v>0</v>
      </c>
      <c r="AB18" s="67">
        <v>0</v>
      </c>
      <c r="AC18" s="67">
        <v>0</v>
      </c>
      <c r="AD18" s="67">
        <v>0</v>
      </c>
      <c r="AE18" s="67"/>
      <c r="AF18" s="110">
        <f t="shared" si="4"/>
        <v>0</v>
      </c>
    </row>
    <row r="19" spans="2:32" x14ac:dyDescent="0.25">
      <c r="B19" s="112" t="s">
        <v>174</v>
      </c>
      <c r="C19" s="67">
        <v>0</v>
      </c>
      <c r="D19" s="70">
        <v>-44</v>
      </c>
      <c r="E19" s="67">
        <f>-44-D19-C19</f>
        <v>0</v>
      </c>
      <c r="F19" s="67">
        <f t="shared" si="1"/>
        <v>0</v>
      </c>
      <c r="G19" s="111">
        <v>-44</v>
      </c>
      <c r="H19" s="67">
        <v>0</v>
      </c>
      <c r="I19" s="70">
        <f>-85-H19</f>
        <v>-85</v>
      </c>
      <c r="J19" s="70">
        <f>-131-H19-I19</f>
        <v>-46</v>
      </c>
      <c r="K19" s="67">
        <f t="shared" si="2"/>
        <v>462</v>
      </c>
      <c r="L19" s="110">
        <v>331</v>
      </c>
      <c r="M19" s="67">
        <v>0</v>
      </c>
      <c r="N19" s="67">
        <v>0</v>
      </c>
      <c r="O19" s="67">
        <v>0</v>
      </c>
      <c r="P19" s="67">
        <f t="shared" si="3"/>
        <v>0</v>
      </c>
      <c r="Q19" s="110">
        <v>0</v>
      </c>
      <c r="R19" s="67">
        <v>0</v>
      </c>
      <c r="S19" s="70">
        <v>-108</v>
      </c>
      <c r="T19" s="70">
        <v>0</v>
      </c>
      <c r="U19" s="70">
        <f t="shared" si="0"/>
        <v>0</v>
      </c>
      <c r="V19" s="110">
        <v>-108</v>
      </c>
      <c r="W19" s="67">
        <v>0</v>
      </c>
      <c r="X19" s="67">
        <v>0</v>
      </c>
      <c r="Y19" s="67">
        <v>0</v>
      </c>
      <c r="Z19" s="70">
        <v>0</v>
      </c>
      <c r="AA19" s="110">
        <v>0</v>
      </c>
      <c r="AB19" s="70">
        <v>0</v>
      </c>
      <c r="AC19" s="67">
        <v>0</v>
      </c>
      <c r="AD19" s="67">
        <v>0</v>
      </c>
      <c r="AE19" s="67"/>
      <c r="AF19" s="110">
        <f t="shared" si="4"/>
        <v>0</v>
      </c>
    </row>
    <row r="20" spans="2:32" x14ac:dyDescent="0.25">
      <c r="B20" s="109" t="s">
        <v>78</v>
      </c>
      <c r="C20" s="70">
        <v>-58</v>
      </c>
      <c r="D20" s="67">
        <f>130-C20</f>
        <v>188</v>
      </c>
      <c r="E20" s="67">
        <f>578-C20-D20</f>
        <v>448</v>
      </c>
      <c r="F20" s="67">
        <f t="shared" si="1"/>
        <v>474</v>
      </c>
      <c r="G20" s="110">
        <v>1052</v>
      </c>
      <c r="H20" s="67">
        <v>349</v>
      </c>
      <c r="I20" s="67">
        <f>508-H20</f>
        <v>159</v>
      </c>
      <c r="J20" s="67">
        <f>1095-H20-I20</f>
        <v>587</v>
      </c>
      <c r="K20" s="67">
        <f t="shared" si="2"/>
        <v>911</v>
      </c>
      <c r="L20" s="110">
        <v>2006</v>
      </c>
      <c r="M20" s="67">
        <v>89</v>
      </c>
      <c r="N20" s="67">
        <v>319</v>
      </c>
      <c r="O20" s="67">
        <f>587-M20-N20</f>
        <v>179</v>
      </c>
      <c r="P20" s="70">
        <f t="shared" si="3"/>
        <v>-55</v>
      </c>
      <c r="Q20" s="110">
        <v>532</v>
      </c>
      <c r="R20" s="67">
        <v>142</v>
      </c>
      <c r="S20" s="67">
        <v>282</v>
      </c>
      <c r="T20" s="67">
        <v>319</v>
      </c>
      <c r="U20" s="67">
        <f t="shared" si="0"/>
        <v>-233</v>
      </c>
      <c r="V20" s="110">
        <v>510</v>
      </c>
      <c r="W20" s="67">
        <v>1389</v>
      </c>
      <c r="X20" s="67">
        <v>334.32687491477645</v>
      </c>
      <c r="Y20" s="67">
        <v>294</v>
      </c>
      <c r="Z20" s="67">
        <v>48.673125085223546</v>
      </c>
      <c r="AA20" s="110">
        <v>2066</v>
      </c>
      <c r="AB20" s="67">
        <v>536</v>
      </c>
      <c r="AC20" s="77">
        <v>-1213</v>
      </c>
      <c r="AD20" s="67">
        <v>1240</v>
      </c>
      <c r="AE20" s="67">
        <v>1289</v>
      </c>
      <c r="AF20" s="110">
        <f>SUM(AB20:AE20)</f>
        <v>1852</v>
      </c>
    </row>
    <row r="21" spans="2:32" x14ac:dyDescent="0.25">
      <c r="B21" s="112" t="s">
        <v>186</v>
      </c>
      <c r="C21" s="67">
        <v>0</v>
      </c>
      <c r="D21" s="67">
        <v>0</v>
      </c>
      <c r="E21" s="67">
        <v>0</v>
      </c>
      <c r="F21" s="67">
        <v>0</v>
      </c>
      <c r="G21" s="110"/>
      <c r="H21" s="67">
        <v>0</v>
      </c>
      <c r="I21" s="67">
        <v>0</v>
      </c>
      <c r="J21" s="67">
        <f>0-I21-H21</f>
        <v>0</v>
      </c>
      <c r="K21" s="67">
        <f t="shared" si="2"/>
        <v>0</v>
      </c>
      <c r="L21" s="110">
        <v>0</v>
      </c>
      <c r="M21" s="67">
        <v>0</v>
      </c>
      <c r="N21" s="67">
        <v>0</v>
      </c>
      <c r="O21" s="67">
        <v>0</v>
      </c>
      <c r="P21" s="67">
        <f t="shared" si="3"/>
        <v>0</v>
      </c>
      <c r="Q21" s="110">
        <v>0</v>
      </c>
      <c r="R21" s="67">
        <v>0</v>
      </c>
      <c r="S21" s="67">
        <v>0</v>
      </c>
      <c r="T21" s="67">
        <v>0</v>
      </c>
      <c r="U21" s="67">
        <f t="shared" si="0"/>
        <v>0</v>
      </c>
      <c r="V21" s="110">
        <v>0</v>
      </c>
      <c r="W21" s="67">
        <v>0</v>
      </c>
      <c r="X21" s="67">
        <v>0</v>
      </c>
      <c r="Y21" s="67">
        <v>0</v>
      </c>
      <c r="Z21" s="67">
        <v>0</v>
      </c>
      <c r="AA21" s="110">
        <v>0</v>
      </c>
      <c r="AB21" s="67">
        <v>0</v>
      </c>
      <c r="AC21" s="67">
        <v>0</v>
      </c>
      <c r="AD21" s="67">
        <v>0</v>
      </c>
      <c r="AE21" s="67"/>
      <c r="AF21" s="110">
        <f t="shared" si="4"/>
        <v>0</v>
      </c>
    </row>
    <row r="22" spans="2:32" x14ac:dyDescent="0.25">
      <c r="B22" s="109" t="s">
        <v>190</v>
      </c>
      <c r="C22" s="70">
        <v>-10</v>
      </c>
      <c r="D22" s="67">
        <f>57-C22</f>
        <v>67</v>
      </c>
      <c r="E22" s="70">
        <f>51-C22-D22</f>
        <v>-6</v>
      </c>
      <c r="F22" s="67">
        <f t="shared" si="1"/>
        <v>2101</v>
      </c>
      <c r="G22" s="110">
        <f>988+1164</f>
        <v>2152</v>
      </c>
      <c r="H22" s="70">
        <v>-26</v>
      </c>
      <c r="I22" s="78">
        <f>-37-H22</f>
        <v>-11</v>
      </c>
      <c r="J22" s="70">
        <f>-51-I22-H22</f>
        <v>-14</v>
      </c>
      <c r="K22" s="67">
        <f t="shared" si="2"/>
        <v>28</v>
      </c>
      <c r="L22" s="111">
        <v>-23</v>
      </c>
      <c r="M22" s="70">
        <v>-7</v>
      </c>
      <c r="N22" s="70">
        <f>-11-M22</f>
        <v>-4</v>
      </c>
      <c r="O22" s="70">
        <f>-16-M22-N22</f>
        <v>-5</v>
      </c>
      <c r="P22" s="70">
        <f t="shared" si="3"/>
        <v>-37</v>
      </c>
      <c r="Q22" s="111">
        <v>-53</v>
      </c>
      <c r="R22" s="70">
        <v>-9</v>
      </c>
      <c r="S22" s="70">
        <v>-6</v>
      </c>
      <c r="T22" s="70">
        <v>561</v>
      </c>
      <c r="U22" s="70">
        <f t="shared" si="0"/>
        <v>168</v>
      </c>
      <c r="V22" s="111">
        <v>714</v>
      </c>
      <c r="W22" s="70">
        <v>2155</v>
      </c>
      <c r="X22" s="70">
        <v>273</v>
      </c>
      <c r="Y22" s="70">
        <v>364</v>
      </c>
      <c r="Z22" s="70">
        <v>-15</v>
      </c>
      <c r="AA22" s="111">
        <v>2777</v>
      </c>
      <c r="AB22" s="70">
        <v>123</v>
      </c>
      <c r="AC22" s="67">
        <v>13</v>
      </c>
      <c r="AD22" s="67">
        <v>32</v>
      </c>
      <c r="AE22" s="67">
        <v>100</v>
      </c>
      <c r="AF22" s="110">
        <f t="shared" si="4"/>
        <v>268</v>
      </c>
    </row>
    <row r="23" spans="2:32" x14ac:dyDescent="0.25">
      <c r="B23" s="109" t="s">
        <v>79</v>
      </c>
      <c r="C23" s="70">
        <v>-38</v>
      </c>
      <c r="D23" s="70">
        <f>-43-C23</f>
        <v>-5</v>
      </c>
      <c r="E23" s="67">
        <f>-40-C23-D23</f>
        <v>3</v>
      </c>
      <c r="F23" s="70">
        <f t="shared" si="1"/>
        <v>-109</v>
      </c>
      <c r="G23" s="111">
        <v>-149</v>
      </c>
      <c r="H23" s="67">
        <v>24</v>
      </c>
      <c r="I23" s="70">
        <f>14-H23</f>
        <v>-10</v>
      </c>
      <c r="J23" s="67">
        <f>40-I23-H23</f>
        <v>26</v>
      </c>
      <c r="K23" s="70">
        <f t="shared" si="2"/>
        <v>-44</v>
      </c>
      <c r="L23" s="111">
        <v>-4</v>
      </c>
      <c r="M23" s="70">
        <v>-7</v>
      </c>
      <c r="N23" s="67">
        <v>0</v>
      </c>
      <c r="O23" s="70">
        <f>-51-M23-N23</f>
        <v>-44</v>
      </c>
      <c r="P23" s="67">
        <f t="shared" si="3"/>
        <v>9</v>
      </c>
      <c r="Q23" s="111">
        <v>-42</v>
      </c>
      <c r="R23" s="67">
        <v>2</v>
      </c>
      <c r="S23" s="70">
        <v>-33</v>
      </c>
      <c r="T23" s="70">
        <v>-14</v>
      </c>
      <c r="U23" s="70">
        <f t="shared" si="0"/>
        <v>37</v>
      </c>
      <c r="V23" s="111">
        <v>-8</v>
      </c>
      <c r="W23" s="67">
        <v>0</v>
      </c>
      <c r="X23" s="67">
        <v>6</v>
      </c>
      <c r="Y23" s="67">
        <v>30</v>
      </c>
      <c r="Z23" s="70">
        <v>38</v>
      </c>
      <c r="AA23" s="111">
        <v>74</v>
      </c>
      <c r="AB23" s="70">
        <v>-99</v>
      </c>
      <c r="AC23" s="67">
        <v>-43</v>
      </c>
      <c r="AD23" s="67">
        <v>-245</v>
      </c>
      <c r="AE23" s="67">
        <v>491</v>
      </c>
      <c r="AF23" s="110">
        <f t="shared" si="4"/>
        <v>104</v>
      </c>
    </row>
    <row r="24" spans="2:32" x14ac:dyDescent="0.25">
      <c r="B24" s="109" t="s">
        <v>175</v>
      </c>
      <c r="C24" s="70">
        <v>-302</v>
      </c>
      <c r="D24" s="70">
        <f>-312-C24</f>
        <v>-10</v>
      </c>
      <c r="E24" s="67">
        <f>-312-C24-D24</f>
        <v>0</v>
      </c>
      <c r="F24" s="67">
        <f t="shared" si="1"/>
        <v>0</v>
      </c>
      <c r="G24" s="111">
        <v>-312</v>
      </c>
      <c r="H24" s="67">
        <v>0</v>
      </c>
      <c r="I24" s="70">
        <f>-16-H24</f>
        <v>-16</v>
      </c>
      <c r="J24" s="67">
        <f>-16-I24-H24</f>
        <v>0</v>
      </c>
      <c r="K24" s="70">
        <f t="shared" si="2"/>
        <v>-609</v>
      </c>
      <c r="L24" s="111">
        <v>-625</v>
      </c>
      <c r="M24" s="67">
        <v>0</v>
      </c>
      <c r="N24" s="70">
        <v>-7</v>
      </c>
      <c r="O24" s="67">
        <f>-8-M24-N24</f>
        <v>-1</v>
      </c>
      <c r="P24" s="70">
        <f t="shared" si="3"/>
        <v>-118</v>
      </c>
      <c r="Q24" s="111">
        <v>-126</v>
      </c>
      <c r="R24" s="67">
        <v>0</v>
      </c>
      <c r="S24" s="67">
        <v>50</v>
      </c>
      <c r="T24" s="67">
        <v>0</v>
      </c>
      <c r="U24" s="67">
        <f t="shared" si="0"/>
        <v>2</v>
      </c>
      <c r="V24" s="111">
        <v>52</v>
      </c>
      <c r="W24" s="67">
        <v>0</v>
      </c>
      <c r="X24" s="67">
        <v>0</v>
      </c>
      <c r="Y24" s="67">
        <v>0</v>
      </c>
      <c r="Z24" s="67">
        <v>0</v>
      </c>
      <c r="AA24" s="111">
        <v>0</v>
      </c>
      <c r="AB24" s="67">
        <v>0</v>
      </c>
      <c r="AC24" s="67">
        <v>0</v>
      </c>
      <c r="AD24" s="67">
        <v>0</v>
      </c>
      <c r="AE24" s="67"/>
      <c r="AF24" s="110">
        <f t="shared" si="4"/>
        <v>0</v>
      </c>
    </row>
    <row r="25" spans="2:32" x14ac:dyDescent="0.25">
      <c r="B25" s="112" t="s">
        <v>130</v>
      </c>
      <c r="C25" s="67">
        <v>0</v>
      </c>
      <c r="D25" s="67">
        <v>0</v>
      </c>
      <c r="E25" s="67">
        <v>0</v>
      </c>
      <c r="F25" s="67">
        <v>0</v>
      </c>
      <c r="G25" s="110">
        <v>0</v>
      </c>
      <c r="H25" s="67">
        <v>0</v>
      </c>
      <c r="I25" s="67">
        <v>0</v>
      </c>
      <c r="J25" s="67">
        <f>0-I25-H25</f>
        <v>0</v>
      </c>
      <c r="K25" s="67">
        <f t="shared" si="2"/>
        <v>0</v>
      </c>
      <c r="L25" s="110">
        <v>0</v>
      </c>
      <c r="M25" s="67">
        <v>0</v>
      </c>
      <c r="N25" s="67">
        <v>0</v>
      </c>
      <c r="O25" s="67">
        <f>0-M25-N25</f>
        <v>0</v>
      </c>
      <c r="P25" s="67">
        <f t="shared" si="3"/>
        <v>0</v>
      </c>
      <c r="Q25" s="110">
        <v>0</v>
      </c>
      <c r="R25" s="67">
        <v>0</v>
      </c>
      <c r="S25" s="67">
        <v>0</v>
      </c>
      <c r="T25" s="67">
        <v>0</v>
      </c>
      <c r="U25" s="67">
        <f t="shared" si="0"/>
        <v>0</v>
      </c>
      <c r="V25" s="110">
        <v>0</v>
      </c>
      <c r="W25" s="67">
        <v>0</v>
      </c>
      <c r="X25" s="67">
        <v>0</v>
      </c>
      <c r="Y25" s="67">
        <v>0</v>
      </c>
      <c r="Z25" s="67">
        <v>0</v>
      </c>
      <c r="AA25" s="110">
        <v>0</v>
      </c>
      <c r="AB25" s="67">
        <v>0</v>
      </c>
      <c r="AC25" s="67">
        <v>0</v>
      </c>
      <c r="AD25" s="67">
        <v>0</v>
      </c>
      <c r="AE25" s="67"/>
      <c r="AF25" s="110">
        <f t="shared" si="4"/>
        <v>0</v>
      </c>
    </row>
    <row r="26" spans="2:32" x14ac:dyDescent="0.25">
      <c r="B26" s="112" t="s">
        <v>81</v>
      </c>
      <c r="C26" s="67">
        <v>0</v>
      </c>
      <c r="D26" s="67">
        <v>38</v>
      </c>
      <c r="E26" s="67">
        <f>42-C26-D26</f>
        <v>4</v>
      </c>
      <c r="F26" s="70">
        <f t="shared" si="1"/>
        <v>-38</v>
      </c>
      <c r="G26" s="110">
        <v>4</v>
      </c>
      <c r="H26" s="70">
        <v>-2</v>
      </c>
      <c r="I26" s="67">
        <f>3-H26</f>
        <v>5</v>
      </c>
      <c r="J26" s="67">
        <f>5-I26-H26</f>
        <v>2</v>
      </c>
      <c r="K26" s="70">
        <f t="shared" si="2"/>
        <v>-5</v>
      </c>
      <c r="L26" s="110">
        <v>0</v>
      </c>
      <c r="M26" s="67">
        <v>36</v>
      </c>
      <c r="N26" s="67">
        <v>46</v>
      </c>
      <c r="O26" s="67">
        <v>-10</v>
      </c>
      <c r="P26" s="70">
        <f t="shared" si="3"/>
        <v>-57</v>
      </c>
      <c r="Q26" s="110">
        <v>15</v>
      </c>
      <c r="R26" s="77">
        <v>0</v>
      </c>
      <c r="S26" s="67">
        <v>17</v>
      </c>
      <c r="T26" s="77">
        <v>22</v>
      </c>
      <c r="U26" s="77">
        <f t="shared" si="0"/>
        <v>-22</v>
      </c>
      <c r="V26" s="110">
        <v>17</v>
      </c>
      <c r="W26" s="77">
        <v>0</v>
      </c>
      <c r="X26" s="77">
        <v>0</v>
      </c>
      <c r="Y26" s="77">
        <v>0</v>
      </c>
      <c r="Z26" s="77">
        <v>-44</v>
      </c>
      <c r="AA26" s="110">
        <v>-44</v>
      </c>
      <c r="AB26" s="77">
        <v>0</v>
      </c>
      <c r="AC26" s="67">
        <v>0</v>
      </c>
      <c r="AD26" s="67">
        <v>0</v>
      </c>
      <c r="AE26" s="67"/>
      <c r="AF26" s="110">
        <f t="shared" si="4"/>
        <v>0</v>
      </c>
    </row>
    <row r="27" spans="2:32" s="114" customFormat="1" x14ac:dyDescent="0.25">
      <c r="B27" s="113" t="s">
        <v>86</v>
      </c>
      <c r="C27" s="70">
        <v>-24</v>
      </c>
      <c r="D27" s="70">
        <f>-57-C27</f>
        <v>-33</v>
      </c>
      <c r="E27" s="67">
        <f>-27-C27-D27</f>
        <v>30</v>
      </c>
      <c r="F27" s="67">
        <f t="shared" si="1"/>
        <v>1</v>
      </c>
      <c r="G27" s="111">
        <v>-26</v>
      </c>
      <c r="H27" s="67">
        <v>17</v>
      </c>
      <c r="I27" s="67">
        <f>38-H27</f>
        <v>21</v>
      </c>
      <c r="J27" s="67">
        <f>58-H27-I27</f>
        <v>20</v>
      </c>
      <c r="K27" s="70">
        <f t="shared" si="2"/>
        <v>-11</v>
      </c>
      <c r="L27" s="110">
        <v>47</v>
      </c>
      <c r="M27" s="70">
        <v>-17</v>
      </c>
      <c r="N27" s="70">
        <f>-39-M27</f>
        <v>-22</v>
      </c>
      <c r="O27" s="77">
        <f>-11-M27-N27</f>
        <v>28</v>
      </c>
      <c r="P27" s="70">
        <f t="shared" si="3"/>
        <v>-17</v>
      </c>
      <c r="Q27" s="111">
        <v>-28</v>
      </c>
      <c r="R27" s="78">
        <v>-9</v>
      </c>
      <c r="S27" s="70">
        <v>9</v>
      </c>
      <c r="T27" s="78">
        <v>0</v>
      </c>
      <c r="U27" s="78">
        <f t="shared" si="0"/>
        <v>22</v>
      </c>
      <c r="V27" s="111">
        <v>22</v>
      </c>
      <c r="W27" s="78">
        <v>-135</v>
      </c>
      <c r="X27" s="78">
        <v>-59</v>
      </c>
      <c r="Y27" s="78">
        <v>81</v>
      </c>
      <c r="Z27" s="78">
        <v>208</v>
      </c>
      <c r="AA27" s="111">
        <v>95</v>
      </c>
      <c r="AB27" s="78">
        <v>-65</v>
      </c>
      <c r="AC27" s="67">
        <v>18</v>
      </c>
      <c r="AD27" s="67">
        <v>-13</v>
      </c>
      <c r="AE27" s="67">
        <v>7</v>
      </c>
      <c r="AF27" s="110">
        <f t="shared" si="4"/>
        <v>-53</v>
      </c>
    </row>
    <row r="28" spans="2:32" s="114" customFormat="1" x14ac:dyDescent="0.25">
      <c r="B28" s="115" t="s">
        <v>126</v>
      </c>
      <c r="C28" s="67">
        <v>0</v>
      </c>
      <c r="D28" s="67">
        <v>0</v>
      </c>
      <c r="E28" s="70">
        <v>-172</v>
      </c>
      <c r="F28" s="70">
        <f t="shared" si="1"/>
        <v>-1</v>
      </c>
      <c r="G28" s="111">
        <v>-173</v>
      </c>
      <c r="H28" s="67">
        <v>0</v>
      </c>
      <c r="I28" s="67">
        <v>0</v>
      </c>
      <c r="J28" s="67">
        <v>0</v>
      </c>
      <c r="K28" s="67">
        <f t="shared" si="2"/>
        <v>0</v>
      </c>
      <c r="L28" s="110">
        <v>0</v>
      </c>
      <c r="M28" s="67">
        <v>0</v>
      </c>
      <c r="N28" s="70">
        <v>0</v>
      </c>
      <c r="O28" s="70">
        <v>0</v>
      </c>
      <c r="P28" s="67">
        <f t="shared" si="3"/>
        <v>0</v>
      </c>
      <c r="Q28" s="111">
        <v>0</v>
      </c>
      <c r="R28" s="67">
        <v>0</v>
      </c>
      <c r="S28" s="70">
        <v>0</v>
      </c>
      <c r="T28" s="70">
        <v>0</v>
      </c>
      <c r="U28" s="70">
        <f t="shared" si="0"/>
        <v>0</v>
      </c>
      <c r="V28" s="111">
        <v>0</v>
      </c>
      <c r="W28" s="67">
        <v>0</v>
      </c>
      <c r="X28" s="67">
        <v>0</v>
      </c>
      <c r="Y28" s="67">
        <v>0</v>
      </c>
      <c r="Z28" s="70">
        <v>0</v>
      </c>
      <c r="AA28" s="111">
        <v>0</v>
      </c>
      <c r="AB28" s="70">
        <v>0</v>
      </c>
      <c r="AC28" s="67">
        <v>0</v>
      </c>
      <c r="AD28" s="67">
        <v>0</v>
      </c>
      <c r="AE28" s="67"/>
      <c r="AF28" s="110">
        <f t="shared" si="4"/>
        <v>0</v>
      </c>
    </row>
    <row r="29" spans="2:32" s="114" customFormat="1" x14ac:dyDescent="0.25">
      <c r="B29" s="113" t="s">
        <v>85</v>
      </c>
      <c r="C29" s="70">
        <v>-30</v>
      </c>
      <c r="D29" s="67">
        <f>-18-C29</f>
        <v>12</v>
      </c>
      <c r="E29" s="70">
        <f>-38-C29-D29</f>
        <v>-20</v>
      </c>
      <c r="F29" s="67">
        <f t="shared" si="1"/>
        <v>422</v>
      </c>
      <c r="G29" s="110">
        <v>384</v>
      </c>
      <c r="H29" s="67">
        <v>109</v>
      </c>
      <c r="I29" s="70">
        <f>-162-H29</f>
        <v>-271</v>
      </c>
      <c r="J29" s="70">
        <f>-451-I29-H29</f>
        <v>-289</v>
      </c>
      <c r="K29" s="67">
        <f t="shared" si="2"/>
        <v>173</v>
      </c>
      <c r="L29" s="111">
        <v>-278</v>
      </c>
      <c r="M29" s="67">
        <v>106</v>
      </c>
      <c r="N29" s="70">
        <f>156-M29</f>
        <v>50</v>
      </c>
      <c r="O29" s="70">
        <f>37-M29-N29</f>
        <v>-119</v>
      </c>
      <c r="P29" s="67">
        <f t="shared" si="3"/>
        <v>83</v>
      </c>
      <c r="Q29" s="111">
        <v>120</v>
      </c>
      <c r="R29" s="70">
        <v>135</v>
      </c>
      <c r="S29" s="70">
        <v>-71</v>
      </c>
      <c r="T29" s="70">
        <v>22</v>
      </c>
      <c r="U29" s="70">
        <f t="shared" si="0"/>
        <v>12</v>
      </c>
      <c r="V29" s="111">
        <v>98</v>
      </c>
      <c r="W29" s="70">
        <v>70</v>
      </c>
      <c r="X29" s="70">
        <v>-18</v>
      </c>
      <c r="Y29" s="70">
        <v>86</v>
      </c>
      <c r="Z29" s="70">
        <v>64</v>
      </c>
      <c r="AA29" s="111">
        <v>202</v>
      </c>
      <c r="AB29" s="70">
        <v>95</v>
      </c>
      <c r="AC29" s="67">
        <v>233</v>
      </c>
      <c r="AD29" s="67">
        <v>-4</v>
      </c>
      <c r="AE29" s="67">
        <v>278</v>
      </c>
      <c r="AF29" s="110">
        <f t="shared" si="4"/>
        <v>602</v>
      </c>
    </row>
    <row r="30" spans="2:32" x14ac:dyDescent="0.25">
      <c r="B30" s="109" t="s">
        <v>84</v>
      </c>
      <c r="C30" s="67">
        <v>552</v>
      </c>
      <c r="D30" s="67">
        <f>968-C30</f>
        <v>416</v>
      </c>
      <c r="E30" s="70">
        <f>818-C30-D30</f>
        <v>-150</v>
      </c>
      <c r="F30" s="70">
        <f t="shared" si="1"/>
        <v>-27</v>
      </c>
      <c r="G30" s="110">
        <v>791</v>
      </c>
      <c r="H30" s="67">
        <v>137</v>
      </c>
      <c r="I30" s="70">
        <f>51-H30</f>
        <v>-86</v>
      </c>
      <c r="J30" s="67">
        <f>81-H30-I30</f>
        <v>30</v>
      </c>
      <c r="K30" s="70">
        <f t="shared" si="2"/>
        <v>-400</v>
      </c>
      <c r="L30" s="111">
        <v>-319</v>
      </c>
      <c r="M30" s="70">
        <v>-86</v>
      </c>
      <c r="N30" s="70">
        <f>-58-M30</f>
        <v>28</v>
      </c>
      <c r="O30" s="70">
        <f>-37-M30-N30</f>
        <v>21</v>
      </c>
      <c r="P30" s="70">
        <f t="shared" si="3"/>
        <v>-125</v>
      </c>
      <c r="Q30" s="111">
        <v>-162</v>
      </c>
      <c r="R30" s="67">
        <v>60</v>
      </c>
      <c r="S30" s="67">
        <v>128</v>
      </c>
      <c r="T30" s="67">
        <v>132</v>
      </c>
      <c r="U30" s="67">
        <f t="shared" si="0"/>
        <v>-168</v>
      </c>
      <c r="V30" s="111">
        <v>152</v>
      </c>
      <c r="W30" s="67">
        <v>-161</v>
      </c>
      <c r="X30" s="67">
        <v>5</v>
      </c>
      <c r="Y30" s="67">
        <v>313</v>
      </c>
      <c r="Z30" s="67">
        <v>95</v>
      </c>
      <c r="AA30" s="111">
        <v>252</v>
      </c>
      <c r="AB30" s="67">
        <v>224</v>
      </c>
      <c r="AC30" s="67">
        <v>1001</v>
      </c>
      <c r="AD30" s="67">
        <v>492</v>
      </c>
      <c r="AE30" s="67">
        <v>-1651</v>
      </c>
      <c r="AF30" s="110">
        <f t="shared" si="4"/>
        <v>66</v>
      </c>
    </row>
    <row r="31" spans="2:32" x14ac:dyDescent="0.25">
      <c r="B31" s="109" t="s">
        <v>83</v>
      </c>
      <c r="C31" s="67">
        <v>40</v>
      </c>
      <c r="D31" s="70">
        <f>34-C31</f>
        <v>-6</v>
      </c>
      <c r="E31" s="67">
        <f>166-D31-C31</f>
        <v>132</v>
      </c>
      <c r="F31" s="67">
        <f t="shared" si="1"/>
        <v>87</v>
      </c>
      <c r="G31" s="110">
        <v>253</v>
      </c>
      <c r="H31" s="67">
        <v>212</v>
      </c>
      <c r="I31" s="67">
        <f>314-H31</f>
        <v>102</v>
      </c>
      <c r="J31" s="67">
        <f>347-I31-H31</f>
        <v>33</v>
      </c>
      <c r="K31" s="67">
        <f t="shared" si="2"/>
        <v>175</v>
      </c>
      <c r="L31" s="110">
        <v>522</v>
      </c>
      <c r="M31" s="67">
        <v>81</v>
      </c>
      <c r="N31" s="70">
        <f>106-M31</f>
        <v>25</v>
      </c>
      <c r="O31" s="70">
        <f>100-M31-N31</f>
        <v>-6</v>
      </c>
      <c r="P31" s="67">
        <f t="shared" si="3"/>
        <v>32</v>
      </c>
      <c r="Q31" s="110">
        <v>132</v>
      </c>
      <c r="R31" s="67">
        <v>48</v>
      </c>
      <c r="S31" s="67">
        <v>32</v>
      </c>
      <c r="T31" s="67">
        <v>16</v>
      </c>
      <c r="U31" s="67">
        <f t="shared" si="0"/>
        <v>99</v>
      </c>
      <c r="V31" s="110">
        <v>195</v>
      </c>
      <c r="W31" s="67">
        <v>-34</v>
      </c>
      <c r="X31" s="67">
        <v>37</v>
      </c>
      <c r="Y31" s="67">
        <v>-57</v>
      </c>
      <c r="Z31" s="67">
        <v>108</v>
      </c>
      <c r="AA31" s="110">
        <v>54</v>
      </c>
      <c r="AB31" s="67">
        <v>26</v>
      </c>
      <c r="AC31" s="67">
        <v>-225</v>
      </c>
      <c r="AD31" s="67">
        <v>-29</v>
      </c>
      <c r="AE31" s="67">
        <v>57</v>
      </c>
      <c r="AF31" s="110">
        <f t="shared" si="4"/>
        <v>-171</v>
      </c>
    </row>
    <row r="32" spans="2:32" x14ac:dyDescent="0.25">
      <c r="B32" s="109" t="s">
        <v>122</v>
      </c>
      <c r="C32" s="67">
        <v>0</v>
      </c>
      <c r="D32" s="67">
        <v>0</v>
      </c>
      <c r="E32" s="67">
        <v>0</v>
      </c>
      <c r="F32" s="67">
        <v>0</v>
      </c>
      <c r="G32" s="110">
        <v>0</v>
      </c>
      <c r="H32" s="67">
        <v>0</v>
      </c>
      <c r="I32" s="67">
        <v>0</v>
      </c>
      <c r="J32" s="67">
        <v>0</v>
      </c>
      <c r="K32" s="67">
        <v>0</v>
      </c>
      <c r="L32" s="110">
        <v>0</v>
      </c>
      <c r="M32" s="67">
        <v>0</v>
      </c>
      <c r="N32" s="70">
        <f>-147-M32</f>
        <v>-147</v>
      </c>
      <c r="O32" s="70">
        <f>-147-M32-N32</f>
        <v>0</v>
      </c>
      <c r="P32" s="70">
        <f t="shared" si="3"/>
        <v>-153</v>
      </c>
      <c r="Q32" s="111">
        <v>-300</v>
      </c>
      <c r="R32" s="67">
        <v>0</v>
      </c>
      <c r="S32" s="67">
        <v>0</v>
      </c>
      <c r="T32" s="67">
        <v>0</v>
      </c>
      <c r="U32" s="67">
        <f t="shared" si="0"/>
        <v>0</v>
      </c>
      <c r="V32" s="111">
        <v>0</v>
      </c>
      <c r="W32" s="67">
        <v>0</v>
      </c>
      <c r="X32" s="67">
        <v>0</v>
      </c>
      <c r="Y32" s="67">
        <v>0</v>
      </c>
      <c r="Z32" s="67">
        <v>0</v>
      </c>
      <c r="AA32" s="111">
        <v>0</v>
      </c>
      <c r="AB32" s="67">
        <v>0</v>
      </c>
      <c r="AC32" s="67">
        <v>0</v>
      </c>
      <c r="AD32" s="67">
        <v>0</v>
      </c>
      <c r="AE32" s="67"/>
      <c r="AF32" s="110">
        <f t="shared" si="4"/>
        <v>0</v>
      </c>
    </row>
    <row r="33" spans="2:32" x14ac:dyDescent="0.25">
      <c r="B33" s="109" t="s">
        <v>80</v>
      </c>
      <c r="C33" s="67">
        <v>0</v>
      </c>
      <c r="D33" s="67">
        <v>0</v>
      </c>
      <c r="E33" s="67">
        <v>0</v>
      </c>
      <c r="F33" s="67">
        <v>0</v>
      </c>
      <c r="G33" s="110">
        <v>0</v>
      </c>
      <c r="H33" s="67">
        <v>0</v>
      </c>
      <c r="I33" s="67">
        <v>0</v>
      </c>
      <c r="J33" s="67">
        <v>0</v>
      </c>
      <c r="K33" s="67">
        <v>0</v>
      </c>
      <c r="L33" s="110">
        <v>0</v>
      </c>
      <c r="M33" s="67">
        <v>0</v>
      </c>
      <c r="N33" s="70">
        <f>-92-M33</f>
        <v>-92</v>
      </c>
      <c r="O33" s="70">
        <f>-86-M33-N33</f>
        <v>6</v>
      </c>
      <c r="P33" s="70">
        <f t="shared" si="3"/>
        <v>15</v>
      </c>
      <c r="Q33" s="111">
        <v>-71</v>
      </c>
      <c r="R33" s="70">
        <v>-32</v>
      </c>
      <c r="S33" s="67">
        <v>32</v>
      </c>
      <c r="T33" s="67">
        <v>-20</v>
      </c>
      <c r="U33" s="67">
        <f t="shared" si="0"/>
        <v>109</v>
      </c>
      <c r="V33" s="111">
        <v>89</v>
      </c>
      <c r="W33" s="70">
        <v>203</v>
      </c>
      <c r="X33" s="70">
        <v>82</v>
      </c>
      <c r="Y33" s="70">
        <v>122</v>
      </c>
      <c r="Z33" s="67">
        <v>-4</v>
      </c>
      <c r="AA33" s="111">
        <v>403</v>
      </c>
      <c r="AB33" s="67">
        <v>-343</v>
      </c>
      <c r="AC33" s="67">
        <v>-215</v>
      </c>
      <c r="AD33" s="67">
        <v>-101</v>
      </c>
      <c r="AE33" s="67">
        <v>-3793</v>
      </c>
      <c r="AF33" s="110">
        <f t="shared" si="4"/>
        <v>-4452</v>
      </c>
    </row>
    <row r="34" spans="2:32" x14ac:dyDescent="0.25">
      <c r="B34" s="109" t="s">
        <v>81</v>
      </c>
      <c r="C34" s="67">
        <v>0</v>
      </c>
      <c r="D34" s="67">
        <v>0</v>
      </c>
      <c r="E34" s="67">
        <v>0</v>
      </c>
      <c r="F34" s="67">
        <v>0</v>
      </c>
      <c r="G34" s="110">
        <v>0</v>
      </c>
      <c r="H34" s="67">
        <v>0</v>
      </c>
      <c r="I34" s="67">
        <v>0</v>
      </c>
      <c r="J34" s="67">
        <v>0</v>
      </c>
      <c r="K34" s="67">
        <v>0</v>
      </c>
      <c r="L34" s="110">
        <v>0</v>
      </c>
      <c r="M34" s="67">
        <v>0</v>
      </c>
      <c r="N34" s="67">
        <v>0</v>
      </c>
      <c r="O34" s="67">
        <v>0</v>
      </c>
      <c r="P34" s="70">
        <f t="shared" si="3"/>
        <v>-69</v>
      </c>
      <c r="Q34" s="111">
        <v>-69</v>
      </c>
      <c r="R34" s="67">
        <v>0</v>
      </c>
      <c r="S34" s="67">
        <v>0</v>
      </c>
      <c r="T34" s="67">
        <v>0</v>
      </c>
      <c r="U34" s="67">
        <f t="shared" si="0"/>
        <v>0</v>
      </c>
      <c r="V34" s="111">
        <v>0</v>
      </c>
      <c r="W34" s="67">
        <v>0</v>
      </c>
      <c r="X34" s="67">
        <v>0</v>
      </c>
      <c r="Y34" s="67">
        <v>0</v>
      </c>
      <c r="Z34" s="67">
        <v>17</v>
      </c>
      <c r="AA34" s="111">
        <v>17</v>
      </c>
      <c r="AB34" s="67">
        <v>21</v>
      </c>
      <c r="AC34" s="67">
        <v>3</v>
      </c>
      <c r="AD34" s="67">
        <v>6</v>
      </c>
      <c r="AE34" s="67">
        <v>352</v>
      </c>
      <c r="AF34" s="110">
        <f t="shared" si="4"/>
        <v>382</v>
      </c>
    </row>
    <row r="35" spans="2:32" x14ac:dyDescent="0.25">
      <c r="B35" s="109" t="s">
        <v>173</v>
      </c>
      <c r="C35" s="67">
        <v>0</v>
      </c>
      <c r="D35" s="67">
        <v>0</v>
      </c>
      <c r="E35" s="67">
        <v>0</v>
      </c>
      <c r="F35" s="67">
        <v>0</v>
      </c>
      <c r="G35" s="110">
        <v>0</v>
      </c>
      <c r="H35" s="67">
        <v>0</v>
      </c>
      <c r="I35" s="67">
        <v>0</v>
      </c>
      <c r="J35" s="67">
        <v>0</v>
      </c>
      <c r="K35" s="67">
        <v>0</v>
      </c>
      <c r="L35" s="110">
        <v>0</v>
      </c>
      <c r="M35" s="67">
        <v>0</v>
      </c>
      <c r="N35" s="67">
        <v>0</v>
      </c>
      <c r="O35" s="67">
        <v>0</v>
      </c>
      <c r="P35" s="67">
        <v>0</v>
      </c>
      <c r="Q35" s="110">
        <v>0</v>
      </c>
      <c r="R35" s="70">
        <v>-6772</v>
      </c>
      <c r="S35" s="67">
        <v>0</v>
      </c>
      <c r="T35" s="67">
        <v>0</v>
      </c>
      <c r="U35" s="67">
        <f t="shared" si="0"/>
        <v>0</v>
      </c>
      <c r="V35" s="110">
        <v>-6772</v>
      </c>
      <c r="W35" s="70">
        <v>0</v>
      </c>
      <c r="X35" s="70">
        <v>0</v>
      </c>
      <c r="Y35" s="70">
        <v>0</v>
      </c>
      <c r="Z35" s="67">
        <v>-427</v>
      </c>
      <c r="AA35" s="110">
        <v>-427</v>
      </c>
      <c r="AB35" s="67">
        <v>-629</v>
      </c>
      <c r="AC35" s="67">
        <v>0</v>
      </c>
      <c r="AD35" s="67">
        <v>0</v>
      </c>
      <c r="AE35" s="67"/>
      <c r="AF35" s="110">
        <f t="shared" si="4"/>
        <v>-629</v>
      </c>
    </row>
    <row r="36" spans="2:32" x14ac:dyDescent="0.25">
      <c r="B36" s="109" t="s">
        <v>184</v>
      </c>
      <c r="C36" s="67">
        <v>0</v>
      </c>
      <c r="D36" s="67">
        <v>0</v>
      </c>
      <c r="E36" s="67">
        <v>0</v>
      </c>
      <c r="F36" s="67">
        <v>0</v>
      </c>
      <c r="G36" s="110">
        <v>0</v>
      </c>
      <c r="H36" s="67">
        <v>0</v>
      </c>
      <c r="I36" s="67">
        <v>0</v>
      </c>
      <c r="J36" s="67">
        <v>0</v>
      </c>
      <c r="K36" s="67">
        <v>0</v>
      </c>
      <c r="L36" s="110">
        <v>0</v>
      </c>
      <c r="M36" s="67">
        <v>0</v>
      </c>
      <c r="N36" s="67">
        <v>0</v>
      </c>
      <c r="O36" s="67">
        <v>0</v>
      </c>
      <c r="P36" s="70">
        <f t="shared" ref="P36" si="5">Q36-SUM(M36:O36)</f>
        <v>-498</v>
      </c>
      <c r="Q36" s="111">
        <v>-498</v>
      </c>
      <c r="R36" s="70">
        <v>-585</v>
      </c>
      <c r="S36" s="70">
        <v>-117</v>
      </c>
      <c r="T36" s="70">
        <v>-81</v>
      </c>
      <c r="U36" s="70">
        <f t="shared" si="0"/>
        <v>36</v>
      </c>
      <c r="V36" s="111">
        <v>-747</v>
      </c>
      <c r="W36" s="70">
        <v>0</v>
      </c>
      <c r="X36" s="70">
        <v>-156</v>
      </c>
      <c r="Y36" s="70">
        <v>0</v>
      </c>
      <c r="Z36" s="70">
        <v>-12</v>
      </c>
      <c r="AA36" s="111">
        <v>-168</v>
      </c>
      <c r="AB36" s="70">
        <v>0</v>
      </c>
      <c r="AC36" s="67">
        <v>0</v>
      </c>
      <c r="AD36" s="67">
        <v>0</v>
      </c>
      <c r="AE36" s="67"/>
      <c r="AF36" s="110">
        <f t="shared" si="4"/>
        <v>0</v>
      </c>
    </row>
    <row r="37" spans="2:32" x14ac:dyDescent="0.25">
      <c r="B37" s="109" t="s">
        <v>82</v>
      </c>
      <c r="C37" s="70">
        <v>-3</v>
      </c>
      <c r="D37" s="70">
        <f>-5-C37</f>
        <v>-2</v>
      </c>
      <c r="E37" s="67">
        <f>-3-D37-C37</f>
        <v>2</v>
      </c>
      <c r="F37" s="67">
        <f t="shared" si="1"/>
        <v>1</v>
      </c>
      <c r="G37" s="111">
        <v>-2</v>
      </c>
      <c r="H37" s="67">
        <v>4</v>
      </c>
      <c r="I37" s="70">
        <f>3-H37</f>
        <v>-1</v>
      </c>
      <c r="J37" s="67">
        <f>8-I37-H37</f>
        <v>5</v>
      </c>
      <c r="K37" s="67">
        <f t="shared" si="2"/>
        <v>0</v>
      </c>
      <c r="L37" s="110">
        <v>8</v>
      </c>
      <c r="M37" s="67">
        <v>0</v>
      </c>
      <c r="N37" s="67">
        <f>6-M37</f>
        <v>6</v>
      </c>
      <c r="O37" s="70">
        <f>5-M37-N37</f>
        <v>-1</v>
      </c>
      <c r="P37" s="70">
        <f t="shared" si="3"/>
        <v>-5</v>
      </c>
      <c r="Q37" s="110">
        <v>0</v>
      </c>
      <c r="R37" s="67">
        <v>0</v>
      </c>
      <c r="S37" s="67">
        <v>0</v>
      </c>
      <c r="T37" s="67">
        <v>0</v>
      </c>
      <c r="U37" s="67">
        <f t="shared" si="0"/>
        <v>0</v>
      </c>
      <c r="V37" s="110">
        <v>0</v>
      </c>
      <c r="W37" s="67">
        <v>0</v>
      </c>
      <c r="X37" s="67">
        <v>0</v>
      </c>
      <c r="Y37" s="67">
        <v>0</v>
      </c>
      <c r="Z37" s="67">
        <v>0</v>
      </c>
      <c r="AA37" s="110">
        <v>0</v>
      </c>
      <c r="AB37" s="67">
        <v>0</v>
      </c>
      <c r="AC37" s="67">
        <v>0</v>
      </c>
      <c r="AD37" s="67">
        <v>0</v>
      </c>
      <c r="AE37" s="67">
        <v>0</v>
      </c>
      <c r="AF37" s="110">
        <f t="shared" si="4"/>
        <v>0</v>
      </c>
    </row>
    <row r="38" spans="2:32" x14ac:dyDescent="0.25">
      <c r="B38" s="109" t="s">
        <v>228</v>
      </c>
      <c r="C38" s="70">
        <v>0</v>
      </c>
      <c r="D38" s="70">
        <v>0</v>
      </c>
      <c r="E38" s="67">
        <v>0</v>
      </c>
      <c r="F38" s="67">
        <v>0</v>
      </c>
      <c r="G38" s="111">
        <v>0</v>
      </c>
      <c r="H38" s="67">
        <v>0</v>
      </c>
      <c r="I38" s="70">
        <v>0</v>
      </c>
      <c r="J38" s="67">
        <v>0</v>
      </c>
      <c r="K38" s="67">
        <v>0</v>
      </c>
      <c r="L38" s="110">
        <v>0</v>
      </c>
      <c r="M38" s="67">
        <v>0</v>
      </c>
      <c r="N38" s="67">
        <v>0</v>
      </c>
      <c r="O38" s="70">
        <v>0</v>
      </c>
      <c r="P38" s="70">
        <v>0</v>
      </c>
      <c r="Q38" s="110">
        <v>0</v>
      </c>
      <c r="R38" s="67">
        <v>0</v>
      </c>
      <c r="S38" s="67">
        <v>0</v>
      </c>
      <c r="T38" s="67">
        <v>0</v>
      </c>
      <c r="U38" s="67">
        <v>0</v>
      </c>
      <c r="V38" s="110">
        <v>0</v>
      </c>
      <c r="W38" s="67">
        <v>0</v>
      </c>
      <c r="X38" s="67">
        <v>0</v>
      </c>
      <c r="Y38" s="67">
        <v>0</v>
      </c>
      <c r="Z38" s="67">
        <v>0</v>
      </c>
      <c r="AA38" s="110">
        <v>0</v>
      </c>
      <c r="AB38" s="67">
        <v>0</v>
      </c>
      <c r="AC38" s="67">
        <v>0</v>
      </c>
      <c r="AD38" s="67">
        <v>0</v>
      </c>
      <c r="AE38" s="67">
        <v>-448</v>
      </c>
      <c r="AF38" s="110">
        <f t="shared" si="4"/>
        <v>-448</v>
      </c>
    </row>
    <row r="39" spans="2:32" x14ac:dyDescent="0.25">
      <c r="B39" s="109" t="s">
        <v>185</v>
      </c>
      <c r="C39" s="70">
        <v>0</v>
      </c>
      <c r="D39" s="70">
        <v>0</v>
      </c>
      <c r="E39" s="67">
        <v>0</v>
      </c>
      <c r="F39" s="67">
        <f t="shared" si="1"/>
        <v>0</v>
      </c>
      <c r="G39" s="111">
        <v>0</v>
      </c>
      <c r="H39" s="67">
        <v>0</v>
      </c>
      <c r="I39" s="70">
        <v>0</v>
      </c>
      <c r="J39" s="67">
        <v>0</v>
      </c>
      <c r="K39" s="67">
        <f t="shared" si="2"/>
        <v>0</v>
      </c>
      <c r="L39" s="110">
        <v>0</v>
      </c>
      <c r="M39" s="67">
        <v>0</v>
      </c>
      <c r="N39" s="67">
        <v>0</v>
      </c>
      <c r="O39" s="70">
        <v>0</v>
      </c>
      <c r="P39" s="70">
        <f t="shared" si="3"/>
        <v>0</v>
      </c>
      <c r="Q39" s="110">
        <v>0</v>
      </c>
      <c r="R39" s="67">
        <v>0</v>
      </c>
      <c r="S39" s="67">
        <v>0</v>
      </c>
      <c r="T39" s="67">
        <v>0</v>
      </c>
      <c r="U39" s="67">
        <f t="shared" si="0"/>
        <v>0</v>
      </c>
      <c r="V39" s="110">
        <v>0</v>
      </c>
      <c r="W39" s="67">
        <v>-164</v>
      </c>
      <c r="X39" s="67">
        <v>13</v>
      </c>
      <c r="Y39" s="67">
        <v>0</v>
      </c>
      <c r="Z39" s="67">
        <v>-215</v>
      </c>
      <c r="AA39" s="110">
        <v>-366</v>
      </c>
      <c r="AB39" s="67">
        <v>0</v>
      </c>
      <c r="AC39" s="67">
        <v>-236</v>
      </c>
      <c r="AD39" s="67">
        <v>-186</v>
      </c>
      <c r="AE39" s="67">
        <v>179</v>
      </c>
      <c r="AF39" s="110">
        <f t="shared" si="4"/>
        <v>-243</v>
      </c>
    </row>
    <row r="40" spans="2:32" x14ac:dyDescent="0.25">
      <c r="B40" s="109"/>
      <c r="C40" s="79">
        <f>SUM(C9:C39)</f>
        <v>810</v>
      </c>
      <c r="D40" s="79">
        <f>SUM(D9:D39)</f>
        <v>1294</v>
      </c>
      <c r="E40" s="79">
        <f>SUM(E9:E39)</f>
        <v>1117</v>
      </c>
      <c r="F40" s="79">
        <f t="shared" ref="F40:K40" si="6">SUM(F9:F37)</f>
        <v>948</v>
      </c>
      <c r="G40" s="116">
        <f>SUM(G9:G39)</f>
        <v>4169</v>
      </c>
      <c r="H40" s="79">
        <f>SUM(H9:H39)</f>
        <v>832</v>
      </c>
      <c r="I40" s="79">
        <f>SUM(I9:I39)</f>
        <v>746</v>
      </c>
      <c r="J40" s="79">
        <f>SUM(J9:J39)</f>
        <v>893</v>
      </c>
      <c r="K40" s="79">
        <f t="shared" si="6"/>
        <v>1223</v>
      </c>
      <c r="L40" s="116">
        <f>SUM(L9:L39)</f>
        <v>3694</v>
      </c>
      <c r="M40" s="79">
        <f>SUM(M9:M39)</f>
        <v>807</v>
      </c>
      <c r="N40" s="79">
        <f>SUM(N9:N39)</f>
        <v>945</v>
      </c>
      <c r="O40" s="79">
        <f>SUM(O9:O39)</f>
        <v>848</v>
      </c>
      <c r="P40" s="79">
        <f t="shared" ref="P40" si="7">SUM(P9:P37)</f>
        <v>688</v>
      </c>
      <c r="Q40" s="116">
        <f>SUM(Q9:Q39)</f>
        <v>3288</v>
      </c>
      <c r="R40" s="79">
        <f t="shared" ref="R40" si="8">SUM(R9:R39)</f>
        <v>385</v>
      </c>
      <c r="S40" s="79">
        <f>SUM(S9:S39)</f>
        <v>1083</v>
      </c>
      <c r="T40" s="79">
        <f>SUM(T9:T39)</f>
        <v>1069</v>
      </c>
      <c r="U40" s="79">
        <f t="shared" si="0"/>
        <v>916</v>
      </c>
      <c r="V40" s="116">
        <f>SUM(V9:V39)</f>
        <v>3453</v>
      </c>
      <c r="W40" s="79">
        <f>SUM(W9:W39)</f>
        <v>402</v>
      </c>
      <c r="X40" s="79">
        <f>SUM(X9:X39)</f>
        <v>781.32687491477645</v>
      </c>
      <c r="Y40" s="79">
        <f>SUM(Y9:Y39)</f>
        <v>2487</v>
      </c>
      <c r="Z40" s="79">
        <f t="shared" ref="Z40:AA40" si="9">SUM(Z9:Z39)</f>
        <v>2357.6731250852235</v>
      </c>
      <c r="AA40" s="116">
        <f t="shared" si="9"/>
        <v>6028</v>
      </c>
      <c r="AB40" s="79">
        <f t="shared" ref="AB40:AF40" si="10">SUM(AB9:AB39)</f>
        <v>2352</v>
      </c>
      <c r="AC40" s="141">
        <f t="shared" ref="AC40:AE40" si="11">SUM(AC9:AC39)</f>
        <v>3101</v>
      </c>
      <c r="AD40" s="79">
        <f t="shared" si="11"/>
        <v>3836</v>
      </c>
      <c r="AE40" s="79">
        <f t="shared" si="11"/>
        <v>1683</v>
      </c>
      <c r="AF40" s="116">
        <f t="shared" si="10"/>
        <v>10972</v>
      </c>
    </row>
    <row r="41" spans="2:32" x14ac:dyDescent="0.25">
      <c r="B41" s="105" t="s">
        <v>87</v>
      </c>
      <c r="C41" s="67"/>
      <c r="D41" s="67"/>
      <c r="E41" s="70"/>
      <c r="F41" s="67"/>
      <c r="G41" s="110"/>
      <c r="H41" s="67"/>
      <c r="I41" s="70"/>
      <c r="J41" s="67"/>
      <c r="K41" s="67"/>
      <c r="L41" s="110"/>
      <c r="M41" s="67"/>
      <c r="N41" s="67"/>
      <c r="O41" s="67"/>
      <c r="P41" s="70"/>
      <c r="Q41" s="110"/>
      <c r="R41" s="67"/>
      <c r="S41" s="70"/>
      <c r="T41" s="67"/>
      <c r="U41" s="67"/>
      <c r="V41" s="110"/>
      <c r="W41" s="67"/>
      <c r="X41" s="67"/>
      <c r="Y41" s="67"/>
      <c r="Z41" s="67"/>
      <c r="AA41" s="110"/>
      <c r="AB41" s="67"/>
      <c r="AC41" s="67"/>
      <c r="AD41" s="67"/>
      <c r="AE41" s="67"/>
      <c r="AF41" s="110"/>
    </row>
    <row r="42" spans="2:32" x14ac:dyDescent="0.25">
      <c r="B42" s="109" t="s">
        <v>88</v>
      </c>
      <c r="C42" s="67">
        <v>1389</v>
      </c>
      <c r="D42" s="67">
        <f>1701-C42</f>
        <v>312</v>
      </c>
      <c r="E42" s="70">
        <f>1101-C42-D42</f>
        <v>-600</v>
      </c>
      <c r="F42" s="67">
        <f t="shared" ref="F42:F49" si="12">G42-SUM(C42:E42)</f>
        <v>653</v>
      </c>
      <c r="G42" s="110">
        <v>1754</v>
      </c>
      <c r="H42" s="67">
        <v>76</v>
      </c>
      <c r="I42" s="70">
        <f>-277-H42</f>
        <v>-353</v>
      </c>
      <c r="J42" s="67">
        <f>-254-H42-I42</f>
        <v>23</v>
      </c>
      <c r="K42" s="67">
        <f t="shared" ref="K42:K49" si="13">L42-SUM(H42:J42)</f>
        <v>696</v>
      </c>
      <c r="L42" s="110">
        <v>442</v>
      </c>
      <c r="M42" s="67">
        <v>562</v>
      </c>
      <c r="N42" s="67">
        <f>921-M42</f>
        <v>359</v>
      </c>
      <c r="O42" s="70">
        <f>581-N42-M42</f>
        <v>-340</v>
      </c>
      <c r="P42" s="70">
        <f t="shared" ref="P42:P49" si="14">Q42-SUM(M42:O42)</f>
        <v>57</v>
      </c>
      <c r="Q42" s="110">
        <v>638</v>
      </c>
      <c r="R42" s="70">
        <v>-302</v>
      </c>
      <c r="S42" s="70">
        <v>-958</v>
      </c>
      <c r="T42" s="70">
        <v>995</v>
      </c>
      <c r="U42" s="70">
        <f t="shared" si="0"/>
        <v>-430</v>
      </c>
      <c r="V42" s="110">
        <v>-695</v>
      </c>
      <c r="W42" s="70">
        <v>-415</v>
      </c>
      <c r="X42" s="70">
        <v>40.398685488514275</v>
      </c>
      <c r="Y42" s="70">
        <v>-105</v>
      </c>
      <c r="Z42" s="70">
        <v>-560.09764458744303</v>
      </c>
      <c r="AA42" s="110">
        <v>-1039.6989590989288</v>
      </c>
      <c r="AB42" s="70">
        <v>834</v>
      </c>
      <c r="AC42" s="67">
        <v>-249</v>
      </c>
      <c r="AD42" s="67">
        <v>-132</v>
      </c>
      <c r="AE42" s="67">
        <v>2457</v>
      </c>
      <c r="AF42" s="110">
        <f t="shared" ref="AF42:AF56" si="15">SUM(AB42:AE42)</f>
        <v>2910</v>
      </c>
    </row>
    <row r="43" spans="2:32" x14ac:dyDescent="0.25">
      <c r="B43" s="109" t="s">
        <v>84</v>
      </c>
      <c r="C43" s="67">
        <v>9</v>
      </c>
      <c r="D43" s="67">
        <f>13-C43</f>
        <v>4</v>
      </c>
      <c r="E43" s="70">
        <f>-21-D43-C43</f>
        <v>-34</v>
      </c>
      <c r="F43" s="70">
        <f t="shared" si="12"/>
        <v>-51</v>
      </c>
      <c r="G43" s="111">
        <v>-72</v>
      </c>
      <c r="H43" s="70">
        <v>-37</v>
      </c>
      <c r="I43" s="70">
        <f>-58-H43</f>
        <v>-21</v>
      </c>
      <c r="J43" s="70">
        <f>-145-H43-I43</f>
        <v>-87</v>
      </c>
      <c r="K43" s="70">
        <f t="shared" si="13"/>
        <v>-57</v>
      </c>
      <c r="L43" s="111">
        <v>-202</v>
      </c>
      <c r="M43" s="70">
        <v>-60</v>
      </c>
      <c r="N43" s="67">
        <f>-58-M43</f>
        <v>2</v>
      </c>
      <c r="O43" s="67">
        <f>-37-M43-N43</f>
        <v>21</v>
      </c>
      <c r="P43" s="70">
        <f t="shared" si="14"/>
        <v>-55</v>
      </c>
      <c r="Q43" s="111">
        <v>-92</v>
      </c>
      <c r="R43" s="67">
        <v>3</v>
      </c>
      <c r="S43" s="70">
        <v>-40</v>
      </c>
      <c r="T43" s="70">
        <v>-76</v>
      </c>
      <c r="U43" s="70">
        <f t="shared" si="0"/>
        <v>249</v>
      </c>
      <c r="V43" s="111">
        <v>136</v>
      </c>
      <c r="W43" s="67">
        <v>-1</v>
      </c>
      <c r="X43" s="67">
        <v>-17</v>
      </c>
      <c r="Y43" s="67">
        <v>-110</v>
      </c>
      <c r="Z43" s="70">
        <v>-111</v>
      </c>
      <c r="AA43" s="111">
        <v>-239</v>
      </c>
      <c r="AB43" s="70">
        <v>-108</v>
      </c>
      <c r="AC43" s="67">
        <v>-211</v>
      </c>
      <c r="AD43" s="67">
        <v>-173</v>
      </c>
      <c r="AE43" s="67">
        <v>-348</v>
      </c>
      <c r="AF43" s="110">
        <f t="shared" si="15"/>
        <v>-840</v>
      </c>
    </row>
    <row r="44" spans="2:32" x14ac:dyDescent="0.25">
      <c r="B44" s="109" t="s">
        <v>89</v>
      </c>
      <c r="C44" s="67">
        <v>379</v>
      </c>
      <c r="D44" s="70">
        <f>362-C44</f>
        <v>-17</v>
      </c>
      <c r="E44" s="70">
        <f>244-C44-D44</f>
        <v>-118</v>
      </c>
      <c r="F44" s="67">
        <f t="shared" si="12"/>
        <v>278</v>
      </c>
      <c r="G44" s="110">
        <v>522</v>
      </c>
      <c r="H44" s="70">
        <v>-172</v>
      </c>
      <c r="I44" s="70">
        <f>-444-H44</f>
        <v>-272</v>
      </c>
      <c r="J44" s="70">
        <f>-779-I44-H44</f>
        <v>-335</v>
      </c>
      <c r="K44" s="67">
        <f t="shared" si="13"/>
        <v>359</v>
      </c>
      <c r="L44" s="111">
        <v>-420</v>
      </c>
      <c r="M44" s="70">
        <v>-481</v>
      </c>
      <c r="N44" s="70">
        <f>-781-M44</f>
        <v>-300</v>
      </c>
      <c r="O44" s="70">
        <f>-906-M44-N44</f>
        <v>-125</v>
      </c>
      <c r="P44" s="67">
        <f t="shared" si="14"/>
        <v>738</v>
      </c>
      <c r="Q44" s="111">
        <v>-168</v>
      </c>
      <c r="R44" s="70">
        <v>-137</v>
      </c>
      <c r="S44" s="70">
        <v>-309</v>
      </c>
      <c r="T44" s="70">
        <v>186</v>
      </c>
      <c r="U44" s="70">
        <f t="shared" si="0"/>
        <v>593</v>
      </c>
      <c r="V44" s="111">
        <v>333</v>
      </c>
      <c r="W44" s="70">
        <v>538</v>
      </c>
      <c r="X44" s="70">
        <v>-71.032557511192863</v>
      </c>
      <c r="Y44" s="70">
        <v>-436</v>
      </c>
      <c r="Z44" s="70">
        <v>41.712703074397723</v>
      </c>
      <c r="AA44" s="111">
        <v>72.68014556320486</v>
      </c>
      <c r="AB44" s="70">
        <v>258</v>
      </c>
      <c r="AC44" s="67">
        <v>-1004</v>
      </c>
      <c r="AD44" s="67">
        <v>-8</v>
      </c>
      <c r="AE44" s="67">
        <v>162</v>
      </c>
      <c r="AF44" s="110">
        <f t="shared" si="15"/>
        <v>-592</v>
      </c>
    </row>
    <row r="45" spans="2:32" x14ac:dyDescent="0.25">
      <c r="B45" s="109" t="s">
        <v>90</v>
      </c>
      <c r="C45" s="70">
        <v>-64</v>
      </c>
      <c r="D45" s="67">
        <f>224-C45</f>
        <v>288</v>
      </c>
      <c r="E45" s="70">
        <f>216-D45-C45</f>
        <v>-8</v>
      </c>
      <c r="F45" s="67">
        <f t="shared" si="12"/>
        <v>106</v>
      </c>
      <c r="G45" s="110">
        <v>322</v>
      </c>
      <c r="H45" s="70">
        <v>-53</v>
      </c>
      <c r="I45" s="67">
        <f>17-H45</f>
        <v>70</v>
      </c>
      <c r="J45" s="67">
        <f>115-I45-H45</f>
        <v>98</v>
      </c>
      <c r="K45" s="70">
        <f t="shared" si="13"/>
        <v>-245</v>
      </c>
      <c r="L45" s="111">
        <v>-130</v>
      </c>
      <c r="M45" s="70">
        <v>-257</v>
      </c>
      <c r="N45" s="70">
        <f>-588-M45</f>
        <v>-331</v>
      </c>
      <c r="O45" s="70">
        <f>-633-M45-N45</f>
        <v>-45</v>
      </c>
      <c r="P45" s="67">
        <f t="shared" si="14"/>
        <v>340</v>
      </c>
      <c r="Q45" s="111">
        <v>-293</v>
      </c>
      <c r="R45" s="70">
        <v>-199</v>
      </c>
      <c r="S45" s="70">
        <v>-14</v>
      </c>
      <c r="T45" s="70">
        <v>-13</v>
      </c>
      <c r="U45" s="70">
        <f t="shared" si="0"/>
        <v>19</v>
      </c>
      <c r="V45" s="111">
        <v>-207</v>
      </c>
      <c r="W45" s="70">
        <v>-78</v>
      </c>
      <c r="X45" s="70">
        <v>229.71227969808024</v>
      </c>
      <c r="Y45" s="70">
        <v>189</v>
      </c>
      <c r="Z45" s="70">
        <v>-295.97964036983649</v>
      </c>
      <c r="AA45" s="111">
        <v>44.732639328243749</v>
      </c>
      <c r="AB45" s="70">
        <v>-797</v>
      </c>
      <c r="AC45" s="67">
        <v>-504</v>
      </c>
      <c r="AD45" s="67">
        <v>-524</v>
      </c>
      <c r="AE45" s="67">
        <v>-600</v>
      </c>
      <c r="AF45" s="110">
        <f t="shared" si="15"/>
        <v>-2425</v>
      </c>
    </row>
    <row r="46" spans="2:32" x14ac:dyDescent="0.25">
      <c r="B46" s="109" t="s">
        <v>91</v>
      </c>
      <c r="C46" s="67">
        <v>150</v>
      </c>
      <c r="D46" s="67">
        <f>253-C46</f>
        <v>103</v>
      </c>
      <c r="E46" s="67">
        <f>288-C46-D46</f>
        <v>35</v>
      </c>
      <c r="F46" s="70">
        <f t="shared" si="12"/>
        <v>-117</v>
      </c>
      <c r="G46" s="110">
        <v>171</v>
      </c>
      <c r="H46" s="67">
        <v>46</v>
      </c>
      <c r="I46" s="67">
        <f>108-H46</f>
        <v>62</v>
      </c>
      <c r="J46" s="70">
        <f>45-H46-I46</f>
        <v>-63</v>
      </c>
      <c r="K46" s="70">
        <f t="shared" si="13"/>
        <v>-33</v>
      </c>
      <c r="L46" s="110">
        <v>12</v>
      </c>
      <c r="M46" s="67">
        <v>80</v>
      </c>
      <c r="N46" s="70">
        <f>-40-M46</f>
        <v>-120</v>
      </c>
      <c r="O46" s="70">
        <f>-267-N46-M46</f>
        <v>-227</v>
      </c>
      <c r="P46" s="67">
        <f t="shared" si="14"/>
        <v>5</v>
      </c>
      <c r="Q46" s="111">
        <v>-262</v>
      </c>
      <c r="R46" s="70">
        <v>-62</v>
      </c>
      <c r="S46" s="70">
        <v>-201</v>
      </c>
      <c r="T46" s="70">
        <v>219</v>
      </c>
      <c r="U46" s="70">
        <f t="shared" si="0"/>
        <v>-450</v>
      </c>
      <c r="V46" s="111">
        <v>-494</v>
      </c>
      <c r="W46" s="70">
        <v>35</v>
      </c>
      <c r="X46" s="70">
        <v>37.315203293508603</v>
      </c>
      <c r="Y46" s="70">
        <v>219</v>
      </c>
      <c r="Z46" s="70">
        <v>462.7394541794265</v>
      </c>
      <c r="AA46" s="111">
        <v>754.05465747293511</v>
      </c>
      <c r="AB46" s="70">
        <v>2</v>
      </c>
      <c r="AC46" s="67">
        <v>171</v>
      </c>
      <c r="AD46" s="67">
        <v>8</v>
      </c>
      <c r="AE46" s="67">
        <v>-119</v>
      </c>
      <c r="AF46" s="110">
        <f t="shared" si="15"/>
        <v>62</v>
      </c>
    </row>
    <row r="47" spans="2:32" x14ac:dyDescent="0.25">
      <c r="B47" s="109" t="s">
        <v>92</v>
      </c>
      <c r="C47" s="70">
        <v>-113</v>
      </c>
      <c r="D47" s="70">
        <f>-193-C47</f>
        <v>-80</v>
      </c>
      <c r="E47" s="67">
        <f>-154-C47-D47</f>
        <v>39</v>
      </c>
      <c r="F47" s="67">
        <f t="shared" si="12"/>
        <v>474</v>
      </c>
      <c r="G47" s="110">
        <v>320</v>
      </c>
      <c r="H47" s="67">
        <v>24</v>
      </c>
      <c r="I47" s="67">
        <f>344-H47</f>
        <v>320</v>
      </c>
      <c r="J47" s="67">
        <f>441-H47-I47</f>
        <v>97</v>
      </c>
      <c r="K47" s="70">
        <f t="shared" si="13"/>
        <v>-46</v>
      </c>
      <c r="L47" s="110">
        <v>395</v>
      </c>
      <c r="M47" s="70">
        <v>-79</v>
      </c>
      <c r="N47" s="70">
        <f>-180-M47</f>
        <v>-101</v>
      </c>
      <c r="O47" s="67">
        <f>-173-M47-N47</f>
        <v>7</v>
      </c>
      <c r="P47" s="67">
        <f t="shared" si="14"/>
        <v>156</v>
      </c>
      <c r="Q47" s="111">
        <v>-17</v>
      </c>
      <c r="R47" s="70">
        <v>-113</v>
      </c>
      <c r="S47" s="70">
        <v>-3</v>
      </c>
      <c r="T47" s="70">
        <v>-106</v>
      </c>
      <c r="U47" s="70">
        <f t="shared" si="0"/>
        <v>264</v>
      </c>
      <c r="V47" s="111">
        <v>42</v>
      </c>
      <c r="W47" s="70">
        <v>-18</v>
      </c>
      <c r="X47" s="70">
        <v>-8</v>
      </c>
      <c r="Y47" s="70">
        <v>35</v>
      </c>
      <c r="Z47" s="70">
        <v>24</v>
      </c>
      <c r="AA47" s="111">
        <v>33</v>
      </c>
      <c r="AB47" s="70">
        <v>-16</v>
      </c>
      <c r="AC47" s="67">
        <v>33</v>
      </c>
      <c r="AD47" s="67">
        <v>-51</v>
      </c>
      <c r="AE47" s="67">
        <v>9</v>
      </c>
      <c r="AF47" s="110">
        <f t="shared" si="15"/>
        <v>-25</v>
      </c>
    </row>
    <row r="48" spans="2:32" x14ac:dyDescent="0.25">
      <c r="B48" s="109" t="s">
        <v>191</v>
      </c>
      <c r="C48" s="70"/>
      <c r="D48" s="70"/>
      <c r="E48" s="67"/>
      <c r="F48" s="67"/>
      <c r="G48" s="110"/>
      <c r="H48" s="67"/>
      <c r="I48" s="67"/>
      <c r="J48" s="67"/>
      <c r="K48" s="70"/>
      <c r="L48" s="110"/>
      <c r="M48" s="70"/>
      <c r="N48" s="70"/>
      <c r="O48" s="67"/>
      <c r="P48" s="67"/>
      <c r="Q48" s="111"/>
      <c r="R48" s="70"/>
      <c r="S48" s="70"/>
      <c r="T48" s="70"/>
      <c r="U48" s="70"/>
      <c r="V48" s="111"/>
      <c r="W48" s="70"/>
      <c r="X48" s="70">
        <v>94.35495145971413</v>
      </c>
      <c r="Y48" s="70">
        <v>-8</v>
      </c>
      <c r="Z48" s="70">
        <v>39.078641523537897</v>
      </c>
      <c r="AA48" s="111">
        <v>125.43359298325203</v>
      </c>
      <c r="AB48" s="70">
        <v>-4</v>
      </c>
      <c r="AC48" s="67">
        <v>-5</v>
      </c>
      <c r="AD48" s="67">
        <v>-17</v>
      </c>
      <c r="AE48" s="67">
        <v>-4</v>
      </c>
      <c r="AF48" s="110">
        <f t="shared" si="15"/>
        <v>-30</v>
      </c>
    </row>
    <row r="49" spans="2:32" x14ac:dyDescent="0.25">
      <c r="B49" s="109" t="s">
        <v>93</v>
      </c>
      <c r="C49" s="67">
        <v>5</v>
      </c>
      <c r="D49" s="67">
        <f>52-C49</f>
        <v>47</v>
      </c>
      <c r="E49" s="67">
        <f>74-C49-D49</f>
        <v>22</v>
      </c>
      <c r="F49" s="70">
        <f t="shared" si="12"/>
        <v>-185</v>
      </c>
      <c r="G49" s="111">
        <v>-111</v>
      </c>
      <c r="H49" s="67">
        <v>252</v>
      </c>
      <c r="I49" s="70">
        <f>236-H49</f>
        <v>-16</v>
      </c>
      <c r="J49" s="67">
        <f>471-I49-H49</f>
        <v>235</v>
      </c>
      <c r="K49" s="70">
        <f t="shared" si="13"/>
        <v>-829</v>
      </c>
      <c r="L49" s="111">
        <v>-358</v>
      </c>
      <c r="M49" s="70">
        <v>-180</v>
      </c>
      <c r="N49" s="67">
        <f>52-M49</f>
        <v>232</v>
      </c>
      <c r="O49" s="70">
        <f>-38-M49-N49</f>
        <v>-90</v>
      </c>
      <c r="P49" s="67">
        <f t="shared" si="14"/>
        <v>88</v>
      </c>
      <c r="Q49" s="110">
        <v>50</v>
      </c>
      <c r="R49" s="67">
        <v>264</v>
      </c>
      <c r="S49" s="70">
        <v>-114</v>
      </c>
      <c r="T49" s="70">
        <v>-153</v>
      </c>
      <c r="U49" s="70">
        <f t="shared" si="0"/>
        <v>260</v>
      </c>
      <c r="V49" s="110">
        <v>257</v>
      </c>
      <c r="W49" s="67">
        <v>4</v>
      </c>
      <c r="X49" s="67">
        <v>-33.230444036762037</v>
      </c>
      <c r="Y49" s="67">
        <v>-283</v>
      </c>
      <c r="Z49" s="70">
        <v>248.23044403676204</v>
      </c>
      <c r="AA49" s="110">
        <v>-64</v>
      </c>
      <c r="AB49" s="70">
        <v>-142</v>
      </c>
      <c r="AC49" s="67">
        <v>3</v>
      </c>
      <c r="AD49" s="67">
        <v>154</v>
      </c>
      <c r="AE49" s="67">
        <v>23</v>
      </c>
      <c r="AF49" s="110">
        <f t="shared" si="15"/>
        <v>38</v>
      </c>
    </row>
    <row r="50" spans="2:32" x14ac:dyDescent="0.25">
      <c r="B50" s="105" t="s">
        <v>94</v>
      </c>
      <c r="C50" s="67"/>
      <c r="D50" s="67"/>
      <c r="E50" s="67"/>
      <c r="F50" s="67"/>
      <c r="G50" s="110"/>
      <c r="H50" s="67"/>
      <c r="I50" s="67"/>
      <c r="J50" s="67"/>
      <c r="K50" s="67"/>
      <c r="L50" s="110"/>
      <c r="M50" s="67"/>
      <c r="N50" s="67"/>
      <c r="O50" s="67"/>
      <c r="P50" s="67"/>
      <c r="Q50" s="110"/>
      <c r="R50" s="67"/>
      <c r="S50" s="67"/>
      <c r="T50" s="67"/>
      <c r="U50" s="67">
        <f t="shared" si="0"/>
        <v>0</v>
      </c>
      <c r="V50" s="110"/>
      <c r="W50" s="67"/>
      <c r="X50" s="67"/>
      <c r="Y50" s="67"/>
      <c r="Z50" s="67"/>
      <c r="AA50" s="110"/>
      <c r="AB50" s="67"/>
      <c r="AC50" s="67"/>
      <c r="AD50" s="67"/>
      <c r="AE50" s="67"/>
      <c r="AF50" s="110">
        <f t="shared" si="15"/>
        <v>0</v>
      </c>
    </row>
    <row r="51" spans="2:32" x14ac:dyDescent="0.25">
      <c r="B51" s="109" t="s">
        <v>95</v>
      </c>
      <c r="C51" s="70">
        <v>-195</v>
      </c>
      <c r="D51" s="70">
        <f>-305-C51</f>
        <v>-110</v>
      </c>
      <c r="E51" s="70">
        <f>-423-C51-D51</f>
        <v>-118</v>
      </c>
      <c r="F51" s="67">
        <f t="shared" ref="F51:F56" si="16">G51-SUM(C51:E51)</f>
        <v>123</v>
      </c>
      <c r="G51" s="111">
        <v>-300</v>
      </c>
      <c r="H51" s="70">
        <v>-376</v>
      </c>
      <c r="I51" s="67">
        <f>83-H51</f>
        <v>459</v>
      </c>
      <c r="J51" s="67">
        <f>136-I51-H51</f>
        <v>53</v>
      </c>
      <c r="K51" s="67">
        <f>L51-SUM(H51:J51)</f>
        <v>494</v>
      </c>
      <c r="L51" s="110">
        <v>630</v>
      </c>
      <c r="M51" s="70">
        <v>-183</v>
      </c>
      <c r="N51" s="67">
        <f>449-M51</f>
        <v>632</v>
      </c>
      <c r="O51" s="67">
        <f>642-M51-N51</f>
        <v>193</v>
      </c>
      <c r="P51" s="67">
        <f>Q51-SUM(M51:O51)</f>
        <v>136</v>
      </c>
      <c r="Q51" s="110">
        <v>778</v>
      </c>
      <c r="R51" s="70">
        <v>-644</v>
      </c>
      <c r="S51" s="67">
        <v>130</v>
      </c>
      <c r="T51" s="67">
        <v>308</v>
      </c>
      <c r="U51" s="67">
        <f t="shared" si="0"/>
        <v>498</v>
      </c>
      <c r="V51" s="110">
        <v>292</v>
      </c>
      <c r="W51" s="70">
        <v>-1313</v>
      </c>
      <c r="X51" s="70">
        <v>-190.87871357000313</v>
      </c>
      <c r="Y51" s="70">
        <v>695</v>
      </c>
      <c r="Z51" s="67">
        <v>697.65828574673924</v>
      </c>
      <c r="AA51" s="110">
        <v>-111.22042782326389</v>
      </c>
      <c r="AB51" s="67">
        <v>-575</v>
      </c>
      <c r="AC51" s="67">
        <v>556</v>
      </c>
      <c r="AD51" s="67">
        <v>224</v>
      </c>
      <c r="AE51" s="67">
        <v>1437</v>
      </c>
      <c r="AF51" s="110">
        <f t="shared" si="15"/>
        <v>1642</v>
      </c>
    </row>
    <row r="52" spans="2:32" x14ac:dyDescent="0.25">
      <c r="B52" s="109" t="s">
        <v>96</v>
      </c>
      <c r="C52" s="70">
        <v>-259</v>
      </c>
      <c r="D52" s="67">
        <f>-195-C52</f>
        <v>64</v>
      </c>
      <c r="E52" s="67">
        <f>-59-D52-C52</f>
        <v>136</v>
      </c>
      <c r="F52" s="67">
        <f t="shared" si="16"/>
        <v>39</v>
      </c>
      <c r="G52" s="111">
        <f>-20</f>
        <v>-20</v>
      </c>
      <c r="H52" s="70">
        <v>-322</v>
      </c>
      <c r="I52" s="67">
        <f>-185-H52</f>
        <v>137</v>
      </c>
      <c r="J52" s="67">
        <f>-27-H52-I52</f>
        <v>158</v>
      </c>
      <c r="K52" s="67">
        <f>L52-SUM(H52:J52)</f>
        <v>74</v>
      </c>
      <c r="L52" s="110">
        <v>47</v>
      </c>
      <c r="M52" s="70">
        <v>-340</v>
      </c>
      <c r="N52" s="67">
        <f>-153-M52</f>
        <v>187</v>
      </c>
      <c r="O52" s="67">
        <f>-8-M52-N52</f>
        <v>145</v>
      </c>
      <c r="P52" s="70">
        <f>Q52-SUM(M52:O52)</f>
        <v>-42</v>
      </c>
      <c r="Q52" s="111">
        <v>-50</v>
      </c>
      <c r="R52" s="70">
        <v>-258</v>
      </c>
      <c r="S52" s="67">
        <v>114</v>
      </c>
      <c r="T52" s="67">
        <v>138</v>
      </c>
      <c r="U52" s="67">
        <f t="shared" si="0"/>
        <v>-3</v>
      </c>
      <c r="V52" s="111">
        <v>-9</v>
      </c>
      <c r="W52" s="70">
        <v>-225</v>
      </c>
      <c r="X52" s="70">
        <v>185.50871809036119</v>
      </c>
      <c r="Y52" s="70">
        <v>229</v>
      </c>
      <c r="Z52" s="67">
        <v>60.620352443599472</v>
      </c>
      <c r="AA52" s="111">
        <v>250.12907053396066</v>
      </c>
      <c r="AB52" s="67">
        <v>-320</v>
      </c>
      <c r="AC52" s="67">
        <v>179</v>
      </c>
      <c r="AD52" s="67">
        <v>250</v>
      </c>
      <c r="AE52" s="67">
        <v>121</v>
      </c>
      <c r="AF52" s="110">
        <f t="shared" si="15"/>
        <v>230</v>
      </c>
    </row>
    <row r="53" spans="2:32" x14ac:dyDescent="0.25">
      <c r="B53" s="109" t="s">
        <v>97</v>
      </c>
      <c r="C53" s="67">
        <v>43</v>
      </c>
      <c r="D53" s="67">
        <f>85-C53</f>
        <v>42</v>
      </c>
      <c r="E53" s="67">
        <f>96-C53-D53</f>
        <v>11</v>
      </c>
      <c r="F53" s="67">
        <f t="shared" si="16"/>
        <v>9</v>
      </c>
      <c r="G53" s="110">
        <v>105</v>
      </c>
      <c r="H53" s="67">
        <v>12</v>
      </c>
      <c r="I53" s="70">
        <f>-23-H53</f>
        <v>-35</v>
      </c>
      <c r="J53" s="70">
        <f>-58-H53-I53</f>
        <v>-35</v>
      </c>
      <c r="K53" s="70">
        <f>L53-SUM(H53:J53)</f>
        <v>-26</v>
      </c>
      <c r="L53" s="111">
        <v>-84</v>
      </c>
      <c r="M53" s="70">
        <v>-14</v>
      </c>
      <c r="N53" s="67">
        <f>123-M53</f>
        <v>137</v>
      </c>
      <c r="O53" s="67">
        <f>189-M53-N53</f>
        <v>66</v>
      </c>
      <c r="P53" s="70">
        <f>Q53-SUM(M53:O53)</f>
        <v>-202</v>
      </c>
      <c r="Q53" s="111">
        <v>-13</v>
      </c>
      <c r="R53" s="70">
        <v>-2</v>
      </c>
      <c r="S53" s="70">
        <v>-13</v>
      </c>
      <c r="T53" s="70">
        <v>2</v>
      </c>
      <c r="U53" s="70">
        <f t="shared" si="0"/>
        <v>-4</v>
      </c>
      <c r="V53" s="111">
        <v>-17</v>
      </c>
      <c r="W53" s="70">
        <v>-3</v>
      </c>
      <c r="X53" s="70">
        <v>-16</v>
      </c>
      <c r="Y53" s="70">
        <v>28</v>
      </c>
      <c r="Z53" s="70">
        <v>-17</v>
      </c>
      <c r="AA53" s="111">
        <v>-8</v>
      </c>
      <c r="AB53" s="70">
        <v>8</v>
      </c>
      <c r="AC53" s="67">
        <v>-20</v>
      </c>
      <c r="AD53" s="67">
        <v>-24</v>
      </c>
      <c r="AE53" s="67">
        <v>194</v>
      </c>
      <c r="AF53" s="110">
        <f t="shared" si="15"/>
        <v>158</v>
      </c>
    </row>
    <row r="54" spans="2:32" x14ac:dyDescent="0.25">
      <c r="B54" s="109" t="s">
        <v>98</v>
      </c>
      <c r="C54" s="70">
        <v>-89</v>
      </c>
      <c r="D54" s="70">
        <f>-170-C54</f>
        <v>-81</v>
      </c>
      <c r="E54" s="70">
        <f>-220-C54-D54</f>
        <v>-50</v>
      </c>
      <c r="F54" s="67">
        <f t="shared" si="16"/>
        <v>118</v>
      </c>
      <c r="G54" s="111">
        <v>-102</v>
      </c>
      <c r="H54" s="67">
        <v>91</v>
      </c>
      <c r="I54" s="67">
        <f>121-H54</f>
        <v>30</v>
      </c>
      <c r="J54" s="67">
        <f>374-I54-H54</f>
        <v>253</v>
      </c>
      <c r="K54" s="70">
        <f>L54-SUM(H54:J54)</f>
        <v>-214</v>
      </c>
      <c r="L54" s="110">
        <v>160</v>
      </c>
      <c r="M54" s="70">
        <v>-169</v>
      </c>
      <c r="N54" s="67">
        <f>-20-M54</f>
        <v>149</v>
      </c>
      <c r="O54" s="67">
        <f>71-M54-N54</f>
        <v>91</v>
      </c>
      <c r="P54" s="70">
        <f>Q54-SUM(M54:O54)</f>
        <v>-40</v>
      </c>
      <c r="Q54" s="110">
        <v>31</v>
      </c>
      <c r="R54" s="67">
        <v>10</v>
      </c>
      <c r="S54" s="67">
        <v>3</v>
      </c>
      <c r="T54" s="67">
        <v>9</v>
      </c>
      <c r="U54" s="67">
        <f t="shared" si="0"/>
        <v>-73</v>
      </c>
      <c r="V54" s="110">
        <v>-51</v>
      </c>
      <c r="W54" s="67">
        <v>-11</v>
      </c>
      <c r="X54" s="67">
        <v>78.602603146200977</v>
      </c>
      <c r="Y54" s="67">
        <v>41</v>
      </c>
      <c r="Z54" s="67">
        <v>-338.95278311062259</v>
      </c>
      <c r="AA54" s="110">
        <v>-230.35017996442161</v>
      </c>
      <c r="AB54" s="67">
        <v>147</v>
      </c>
      <c r="AC54" s="67">
        <v>-4</v>
      </c>
      <c r="AD54" s="67">
        <v>2</v>
      </c>
      <c r="AE54" s="67">
        <v>207</v>
      </c>
      <c r="AF54" s="110">
        <f t="shared" si="15"/>
        <v>352</v>
      </c>
    </row>
    <row r="55" spans="2:32" x14ac:dyDescent="0.25">
      <c r="B55" s="109" t="s">
        <v>192</v>
      </c>
      <c r="C55" s="70">
        <v>0</v>
      </c>
      <c r="D55" s="70">
        <v>0</v>
      </c>
      <c r="E55" s="70">
        <v>0</v>
      </c>
      <c r="F55" s="67">
        <f t="shared" si="16"/>
        <v>0</v>
      </c>
      <c r="G55" s="111">
        <v>0</v>
      </c>
      <c r="H55" s="70">
        <v>0</v>
      </c>
      <c r="I55" s="70">
        <v>0</v>
      </c>
      <c r="J55" s="70">
        <v>0</v>
      </c>
      <c r="K55" s="67">
        <f t="shared" ref="K55" si="17">L55-SUM(H55:J55)</f>
        <v>0</v>
      </c>
      <c r="L55" s="111">
        <v>0</v>
      </c>
      <c r="M55" s="70">
        <v>0</v>
      </c>
      <c r="N55" s="70">
        <v>0</v>
      </c>
      <c r="O55" s="70">
        <v>0</v>
      </c>
      <c r="P55" s="67">
        <f t="shared" ref="P55" si="18">Q55-SUM(M55:O55)</f>
        <v>0</v>
      </c>
      <c r="Q55" s="111">
        <v>0</v>
      </c>
      <c r="R55" s="70">
        <v>0</v>
      </c>
      <c r="S55" s="70">
        <v>0</v>
      </c>
      <c r="T55" s="70">
        <v>0</v>
      </c>
      <c r="U55" s="67">
        <f t="shared" ref="U55" si="19">V55-SUM(R55:T55)</f>
        <v>0</v>
      </c>
      <c r="V55" s="111">
        <v>0</v>
      </c>
      <c r="W55" s="67">
        <v>0</v>
      </c>
      <c r="X55" s="67">
        <v>171.2240099498423</v>
      </c>
      <c r="Y55" s="67">
        <v>-155</v>
      </c>
      <c r="Z55" s="67">
        <v>40.334638809806378</v>
      </c>
      <c r="AA55" s="111">
        <v>56.558648759648676</v>
      </c>
      <c r="AB55" s="67">
        <v>32</v>
      </c>
      <c r="AC55" s="67">
        <v>50</v>
      </c>
      <c r="AD55" s="67">
        <v>3</v>
      </c>
      <c r="AE55" s="67">
        <v>-35</v>
      </c>
      <c r="AF55" s="110">
        <f t="shared" si="15"/>
        <v>50</v>
      </c>
    </row>
    <row r="56" spans="2:32" x14ac:dyDescent="0.25">
      <c r="B56" s="109" t="s">
        <v>99</v>
      </c>
      <c r="C56" s="70">
        <f>-253-77</f>
        <v>-330</v>
      </c>
      <c r="D56" s="70">
        <f>-607-C56</f>
        <v>-277</v>
      </c>
      <c r="E56" s="70">
        <f>-615-C56-D56</f>
        <v>-8</v>
      </c>
      <c r="F56" s="67">
        <f t="shared" si="16"/>
        <v>919</v>
      </c>
      <c r="G56" s="110">
        <v>304</v>
      </c>
      <c r="H56" s="70">
        <f>-58-326</f>
        <v>-384</v>
      </c>
      <c r="I56" s="70">
        <f>-734-H56</f>
        <v>-350</v>
      </c>
      <c r="J56" s="70">
        <f>-184-I56-H56-90-584</f>
        <v>-124</v>
      </c>
      <c r="K56" s="67">
        <f>L56-SUM(H56:J56)</f>
        <v>1029</v>
      </c>
      <c r="L56" s="110">
        <v>171</v>
      </c>
      <c r="M56" s="67">
        <v>314</v>
      </c>
      <c r="N56" s="70">
        <f>-34-M56</f>
        <v>-348</v>
      </c>
      <c r="O56" s="67">
        <f>445-M56-N56</f>
        <v>479</v>
      </c>
      <c r="P56" s="70">
        <f>Q56-SUM(M56:O56)</f>
        <v>-245</v>
      </c>
      <c r="Q56" s="110">
        <v>200</v>
      </c>
      <c r="R56" s="70">
        <v>-403</v>
      </c>
      <c r="S56" s="67">
        <v>42</v>
      </c>
      <c r="T56" s="67">
        <v>113</v>
      </c>
      <c r="U56" s="67">
        <f t="shared" si="0"/>
        <v>-254</v>
      </c>
      <c r="V56" s="110">
        <v>-502</v>
      </c>
      <c r="W56" s="70">
        <v>-183</v>
      </c>
      <c r="X56" s="70">
        <v>-191.03073288526019</v>
      </c>
      <c r="Y56" s="70">
        <v>443</v>
      </c>
      <c r="Z56" s="67">
        <v>418.33706459712454</v>
      </c>
      <c r="AA56" s="110">
        <v>487.30633171186435</v>
      </c>
      <c r="AB56" s="67">
        <v>-50</v>
      </c>
      <c r="AC56" s="67">
        <v>308</v>
      </c>
      <c r="AD56" s="67">
        <v>266</v>
      </c>
      <c r="AE56" s="67">
        <v>730</v>
      </c>
      <c r="AF56" s="110">
        <f t="shared" si="15"/>
        <v>1254</v>
      </c>
    </row>
    <row r="57" spans="2:32" s="108" customFormat="1" x14ac:dyDescent="0.25">
      <c r="B57" s="105" t="s">
        <v>100</v>
      </c>
      <c r="C57" s="76">
        <f t="shared" ref="C57:Q57" si="20">SUM(C40:C56)</f>
        <v>1735</v>
      </c>
      <c r="D57" s="76">
        <f t="shared" si="20"/>
        <v>1589</v>
      </c>
      <c r="E57" s="76">
        <f t="shared" si="20"/>
        <v>424</v>
      </c>
      <c r="F57" s="76">
        <f t="shared" si="20"/>
        <v>3314</v>
      </c>
      <c r="G57" s="107">
        <f t="shared" si="20"/>
        <v>7062</v>
      </c>
      <c r="H57" s="69">
        <f t="shared" si="20"/>
        <v>-11</v>
      </c>
      <c r="I57" s="76">
        <f t="shared" si="20"/>
        <v>777</v>
      </c>
      <c r="J57" s="76">
        <f t="shared" si="20"/>
        <v>1166</v>
      </c>
      <c r="K57" s="76">
        <f t="shared" si="20"/>
        <v>2425</v>
      </c>
      <c r="L57" s="107">
        <f t="shared" si="20"/>
        <v>4357</v>
      </c>
      <c r="M57" s="76">
        <f t="shared" si="20"/>
        <v>0</v>
      </c>
      <c r="N57" s="76">
        <f t="shared" si="20"/>
        <v>1443</v>
      </c>
      <c r="O57" s="76">
        <f t="shared" si="20"/>
        <v>1023</v>
      </c>
      <c r="P57" s="76">
        <f t="shared" si="20"/>
        <v>1624</v>
      </c>
      <c r="Q57" s="107">
        <f t="shared" si="20"/>
        <v>4090</v>
      </c>
      <c r="R57" s="69">
        <f t="shared" ref="R57" si="21">SUM(R40:R56)</f>
        <v>-1458</v>
      </c>
      <c r="S57" s="69">
        <f t="shared" ref="S57:T57" si="22">SUM(S40:S56)</f>
        <v>-280</v>
      </c>
      <c r="T57" s="69">
        <f t="shared" si="22"/>
        <v>2691</v>
      </c>
      <c r="U57" s="69">
        <f>SUM(U40:U56)</f>
        <v>1585</v>
      </c>
      <c r="V57" s="107">
        <f>SUM(V40:V56)</f>
        <v>2538</v>
      </c>
      <c r="W57" s="69">
        <f t="shared" ref="W57:X57" si="23">SUM(W40:W56)</f>
        <v>-1268</v>
      </c>
      <c r="X57" s="69">
        <f t="shared" si="23"/>
        <v>1091.27087803778</v>
      </c>
      <c r="Y57" s="69">
        <f t="shared" ref="Y57" si="24">SUM(Y40:Y56)</f>
        <v>3269</v>
      </c>
      <c r="Z57" s="69">
        <f>SUM(Z40:Z56)</f>
        <v>3067.3546414287152</v>
      </c>
      <c r="AA57" s="107">
        <f>SUM(AA40:AA56)</f>
        <v>6159.6255194664946</v>
      </c>
      <c r="AB57" s="69">
        <f>SUM(AB40:AB56)</f>
        <v>1621</v>
      </c>
      <c r="AC57" s="142">
        <f>SUM(AC40:AC56)</f>
        <v>2404</v>
      </c>
      <c r="AD57" s="76">
        <f t="shared" ref="AD57:AE57" si="25">SUM(AD40:AD56)</f>
        <v>3814</v>
      </c>
      <c r="AE57" s="76">
        <f t="shared" si="25"/>
        <v>5917</v>
      </c>
      <c r="AF57" s="107">
        <f>SUM(AF40:AF56)</f>
        <v>13756</v>
      </c>
    </row>
    <row r="58" spans="2:32" x14ac:dyDescent="0.25">
      <c r="B58" s="105"/>
      <c r="C58" s="70"/>
      <c r="D58" s="70"/>
      <c r="E58" s="70"/>
      <c r="F58" s="70"/>
      <c r="G58" s="111"/>
      <c r="H58" s="70"/>
      <c r="I58" s="70"/>
      <c r="J58" s="70"/>
      <c r="K58" s="70"/>
      <c r="L58" s="111"/>
      <c r="M58" s="70"/>
      <c r="N58" s="70"/>
      <c r="O58" s="67"/>
      <c r="P58" s="70"/>
      <c r="Q58" s="110"/>
      <c r="R58" s="67"/>
      <c r="S58" s="70"/>
      <c r="T58" s="67"/>
      <c r="U58" s="67"/>
      <c r="V58" s="110"/>
      <c r="W58" s="67"/>
      <c r="X58" s="67"/>
      <c r="Y58" s="67"/>
      <c r="Z58" s="67"/>
      <c r="AA58" s="110"/>
      <c r="AB58" s="67"/>
      <c r="AC58" s="67"/>
      <c r="AD58" s="67"/>
      <c r="AE58" s="67"/>
      <c r="AF58" s="110"/>
    </row>
    <row r="59" spans="2:32" x14ac:dyDescent="0.25">
      <c r="B59" s="109" t="s">
        <v>101</v>
      </c>
      <c r="C59" s="70">
        <v>-332</v>
      </c>
      <c r="D59" s="70">
        <f>-946-C59</f>
        <v>-614</v>
      </c>
      <c r="E59" s="70">
        <f>-1228-C59-D59</f>
        <v>-282</v>
      </c>
      <c r="F59" s="70">
        <f t="shared" ref="F59:F60" si="26">G59-SUM(C59:E59)</f>
        <v>-551</v>
      </c>
      <c r="G59" s="111">
        <v>-1779</v>
      </c>
      <c r="H59" s="70">
        <v>-325</v>
      </c>
      <c r="I59" s="70">
        <f>-728-H59</f>
        <v>-403</v>
      </c>
      <c r="J59" s="70">
        <f>-1195-I59-H59</f>
        <v>-467</v>
      </c>
      <c r="K59" s="70">
        <f>L59-SUM(H59:J59)</f>
        <v>-363</v>
      </c>
      <c r="L59" s="111">
        <v>-1558</v>
      </c>
      <c r="M59" s="70">
        <v>-291</v>
      </c>
      <c r="N59" s="70">
        <f>-725-M59</f>
        <v>-434</v>
      </c>
      <c r="O59" s="70">
        <f>-1002-M59-N59</f>
        <v>-277</v>
      </c>
      <c r="P59" s="70">
        <f>Q59-SUM(M59:O59)</f>
        <v>-459</v>
      </c>
      <c r="Q59" s="111">
        <v>-1461</v>
      </c>
      <c r="R59" s="70">
        <v>-293</v>
      </c>
      <c r="S59" s="70">
        <v>-363</v>
      </c>
      <c r="T59" s="70">
        <v>-227</v>
      </c>
      <c r="U59" s="70">
        <f t="shared" si="0"/>
        <v>-369</v>
      </c>
      <c r="V59" s="111">
        <v>-1252</v>
      </c>
      <c r="W59" s="70">
        <v>-166</v>
      </c>
      <c r="X59" s="70">
        <v>-456</v>
      </c>
      <c r="Y59" s="70">
        <v>-251</v>
      </c>
      <c r="Z59" s="70">
        <v>-447</v>
      </c>
      <c r="AA59" s="111">
        <v>-1320</v>
      </c>
      <c r="AB59" s="70">
        <v>-335</v>
      </c>
      <c r="AC59" s="67">
        <v>-391</v>
      </c>
      <c r="AD59" s="67">
        <v>-291</v>
      </c>
      <c r="AE59" s="67">
        <v>-408</v>
      </c>
      <c r="AF59" s="110">
        <f t="shared" ref="AF59:AF60" si="27">SUM(AB59:AE59)</f>
        <v>-1425</v>
      </c>
    </row>
    <row r="60" spans="2:32" x14ac:dyDescent="0.25">
      <c r="B60" s="109" t="s">
        <v>102</v>
      </c>
      <c r="C60" s="70">
        <v>-149</v>
      </c>
      <c r="D60" s="70">
        <f>-239-C60</f>
        <v>-90</v>
      </c>
      <c r="E60" s="70">
        <f>-347-C60-D60</f>
        <v>-108</v>
      </c>
      <c r="F60" s="70">
        <f t="shared" si="26"/>
        <v>-144</v>
      </c>
      <c r="G60" s="111">
        <v>-491</v>
      </c>
      <c r="H60" s="70">
        <v>-152</v>
      </c>
      <c r="I60" s="70">
        <f>-297-H60</f>
        <v>-145</v>
      </c>
      <c r="J60" s="70">
        <f>-408-I60-H60</f>
        <v>-111</v>
      </c>
      <c r="K60" s="70">
        <f>L60-SUM(H60:J60)</f>
        <v>-280</v>
      </c>
      <c r="L60" s="111">
        <v>-688</v>
      </c>
      <c r="M60" s="70">
        <v>-239</v>
      </c>
      <c r="N60" s="70">
        <f>-421-M60</f>
        <v>-182</v>
      </c>
      <c r="O60" s="70">
        <f>-552-M60-N60</f>
        <v>-131</v>
      </c>
      <c r="P60" s="70">
        <f>Q60-SUM(M60:O60)</f>
        <v>-62</v>
      </c>
      <c r="Q60" s="111">
        <v>-614</v>
      </c>
      <c r="R60" s="70">
        <v>35</v>
      </c>
      <c r="S60" s="70">
        <v>-38</v>
      </c>
      <c r="T60" s="70">
        <v>-89</v>
      </c>
      <c r="U60" s="70">
        <f t="shared" si="0"/>
        <v>-97</v>
      </c>
      <c r="V60" s="111">
        <v>-189</v>
      </c>
      <c r="W60" s="70">
        <v>-137</v>
      </c>
      <c r="X60" s="70">
        <v>-73</v>
      </c>
      <c r="Y60" s="70">
        <v>-61</v>
      </c>
      <c r="Z60" s="70">
        <v>-136</v>
      </c>
      <c r="AA60" s="111">
        <v>-407</v>
      </c>
      <c r="AB60" s="70">
        <v>-546</v>
      </c>
      <c r="AC60" s="67">
        <v>-146</v>
      </c>
      <c r="AD60" s="67">
        <v>-226</v>
      </c>
      <c r="AE60" s="67">
        <v>-245</v>
      </c>
      <c r="AF60" s="110">
        <f t="shared" si="27"/>
        <v>-1163</v>
      </c>
    </row>
    <row r="61" spans="2:32" s="108" customFormat="1" x14ac:dyDescent="0.25">
      <c r="B61" s="101" t="s">
        <v>103</v>
      </c>
      <c r="C61" s="73">
        <f t="shared" ref="C61:R61" si="28">SUM(C57:C60)</f>
        <v>1254</v>
      </c>
      <c r="D61" s="73">
        <f t="shared" si="28"/>
        <v>885</v>
      </c>
      <c r="E61" s="73">
        <f t="shared" si="28"/>
        <v>34</v>
      </c>
      <c r="F61" s="73">
        <f t="shared" si="28"/>
        <v>2619</v>
      </c>
      <c r="G61" s="117">
        <f t="shared" si="28"/>
        <v>4792</v>
      </c>
      <c r="H61" s="81">
        <f t="shared" si="28"/>
        <v>-488</v>
      </c>
      <c r="I61" s="73">
        <f t="shared" si="28"/>
        <v>229</v>
      </c>
      <c r="J61" s="73">
        <f t="shared" si="28"/>
        <v>588</v>
      </c>
      <c r="K61" s="73">
        <f t="shared" si="28"/>
        <v>1782</v>
      </c>
      <c r="L61" s="117">
        <f t="shared" si="28"/>
        <v>2111</v>
      </c>
      <c r="M61" s="81">
        <f t="shared" si="28"/>
        <v>-530</v>
      </c>
      <c r="N61" s="73">
        <f t="shared" si="28"/>
        <v>827</v>
      </c>
      <c r="O61" s="73">
        <f t="shared" si="28"/>
        <v>615</v>
      </c>
      <c r="P61" s="73">
        <f t="shared" si="28"/>
        <v>1103</v>
      </c>
      <c r="Q61" s="117">
        <f t="shared" si="28"/>
        <v>2015</v>
      </c>
      <c r="R61" s="80">
        <f t="shared" si="28"/>
        <v>-1716</v>
      </c>
      <c r="S61" s="80">
        <f t="shared" ref="S61:T61" si="29">SUM(S57:S60)</f>
        <v>-681</v>
      </c>
      <c r="T61" s="80">
        <f t="shared" si="29"/>
        <v>2375</v>
      </c>
      <c r="U61" s="80">
        <f t="shared" si="0"/>
        <v>1119</v>
      </c>
      <c r="V61" s="117">
        <f t="shared" ref="V61" si="30">SUM(V57:V60)</f>
        <v>1097</v>
      </c>
      <c r="W61" s="80">
        <f t="shared" ref="W61:X61" si="31">SUM(W57:W60)</f>
        <v>-1571</v>
      </c>
      <c r="X61" s="80">
        <f t="shared" si="31"/>
        <v>562.27087803777999</v>
      </c>
      <c r="Y61" s="80">
        <f t="shared" ref="Y61:AA61" si="32">SUM(Y57:Y60)</f>
        <v>2957</v>
      </c>
      <c r="Z61" s="80">
        <f t="shared" si="32"/>
        <v>2484.3546414287152</v>
      </c>
      <c r="AA61" s="117">
        <f t="shared" si="32"/>
        <v>4432.6255194664946</v>
      </c>
      <c r="AB61" s="80">
        <f t="shared" ref="AB61:AF61" si="33">SUM(AB57:AB60)</f>
        <v>740</v>
      </c>
      <c r="AC61" s="143">
        <f t="shared" ref="AC61:AE61" si="34">SUM(AC57:AC60)</f>
        <v>1867</v>
      </c>
      <c r="AD61" s="80">
        <f t="shared" si="34"/>
        <v>3297</v>
      </c>
      <c r="AE61" s="80">
        <f t="shared" si="34"/>
        <v>5264</v>
      </c>
      <c r="AF61" s="117">
        <f t="shared" si="33"/>
        <v>11168</v>
      </c>
    </row>
    <row r="62" spans="2:32" x14ac:dyDescent="0.25">
      <c r="B62" s="109"/>
      <c r="C62" s="67"/>
      <c r="D62" s="67"/>
      <c r="E62" s="67"/>
      <c r="F62" s="67"/>
      <c r="G62" s="110"/>
      <c r="H62" s="67"/>
      <c r="I62" s="67"/>
      <c r="J62" s="67"/>
      <c r="K62" s="67"/>
      <c r="L62" s="110"/>
      <c r="M62" s="67"/>
      <c r="N62" s="67"/>
      <c r="O62" s="67"/>
      <c r="P62" s="67"/>
      <c r="Q62" s="110"/>
      <c r="R62" s="67"/>
      <c r="S62" s="67"/>
      <c r="T62" s="67"/>
      <c r="U62" s="67"/>
      <c r="V62" s="110"/>
      <c r="W62" s="67"/>
      <c r="X62" s="67"/>
      <c r="Y62" s="67"/>
      <c r="Z62" s="67"/>
      <c r="AA62" s="110"/>
      <c r="AB62" s="67"/>
      <c r="AC62" s="67"/>
      <c r="AD62" s="67"/>
      <c r="AE62" s="67"/>
      <c r="AF62" s="110"/>
    </row>
    <row r="63" spans="2:32" x14ac:dyDescent="0.25">
      <c r="B63" s="105" t="s">
        <v>104</v>
      </c>
      <c r="C63" s="67"/>
      <c r="D63" s="67"/>
      <c r="E63" s="67"/>
      <c r="F63" s="67"/>
      <c r="G63" s="110"/>
      <c r="H63" s="70"/>
      <c r="I63" s="67"/>
      <c r="J63" s="67"/>
      <c r="K63" s="67"/>
      <c r="L63" s="110"/>
      <c r="M63" s="67"/>
      <c r="N63" s="67"/>
      <c r="O63" s="67"/>
      <c r="P63" s="67"/>
      <c r="Q63" s="110"/>
      <c r="R63" s="67"/>
      <c r="S63" s="67"/>
      <c r="T63" s="67"/>
      <c r="U63" s="67"/>
      <c r="V63" s="110"/>
      <c r="W63" s="67"/>
      <c r="X63" s="67"/>
      <c r="Y63" s="67"/>
      <c r="Z63" s="67"/>
      <c r="AA63" s="110"/>
      <c r="AB63" s="67"/>
      <c r="AC63" s="67"/>
      <c r="AD63" s="67"/>
      <c r="AE63" s="67"/>
      <c r="AF63" s="110"/>
    </row>
    <row r="64" spans="2:32" x14ac:dyDescent="0.25">
      <c r="B64" s="109" t="s">
        <v>105</v>
      </c>
      <c r="C64" s="67">
        <v>59</v>
      </c>
      <c r="D64" s="67">
        <f>90-C64</f>
        <v>31</v>
      </c>
      <c r="E64" s="67">
        <f>127-C64-D64</f>
        <v>37</v>
      </c>
      <c r="F64" s="67">
        <f t="shared" ref="F64:F75" si="35">G64-SUM(C64:E64)</f>
        <v>252</v>
      </c>
      <c r="G64" s="110">
        <v>379</v>
      </c>
      <c r="H64" s="70">
        <v>-29</v>
      </c>
      <c r="I64" s="67">
        <f>30-H64</f>
        <v>59</v>
      </c>
      <c r="J64" s="67">
        <f>55-I64-H64</f>
        <v>25</v>
      </c>
      <c r="K64" s="67">
        <f t="shared" ref="K64:K75" si="36">L64-SUM(H64:J64)</f>
        <v>123</v>
      </c>
      <c r="L64" s="110">
        <v>178</v>
      </c>
      <c r="M64" s="67">
        <v>51</v>
      </c>
      <c r="N64" s="67">
        <f>96-M64</f>
        <v>45</v>
      </c>
      <c r="O64" s="67">
        <f>148-M64-N64</f>
        <v>52</v>
      </c>
      <c r="P64" s="67">
        <f t="shared" ref="P64:P75" si="37">Q64-SUM(M64:O64)</f>
        <v>29</v>
      </c>
      <c r="Q64" s="110">
        <v>177</v>
      </c>
      <c r="R64" s="67">
        <v>7</v>
      </c>
      <c r="S64" s="67">
        <v>51</v>
      </c>
      <c r="T64" s="67">
        <v>81</v>
      </c>
      <c r="U64" s="67">
        <f t="shared" si="0"/>
        <v>-7</v>
      </c>
      <c r="V64" s="110">
        <v>132</v>
      </c>
      <c r="W64" s="67">
        <v>11</v>
      </c>
      <c r="X64" s="67">
        <v>25</v>
      </c>
      <c r="Y64" s="67">
        <v>32</v>
      </c>
      <c r="Z64" s="67">
        <v>174</v>
      </c>
      <c r="AA64" s="110">
        <v>242</v>
      </c>
      <c r="AB64" s="67">
        <v>239</v>
      </c>
      <c r="AC64" s="67">
        <v>47</v>
      </c>
      <c r="AD64" s="67">
        <v>101</v>
      </c>
      <c r="AE64" s="67">
        <v>453</v>
      </c>
      <c r="AF64" s="110">
        <f t="shared" ref="AF64:AF75" si="38">SUM(AB64:AE64)</f>
        <v>840</v>
      </c>
    </row>
    <row r="65" spans="2:32" x14ac:dyDescent="0.25">
      <c r="B65" s="109" t="s">
        <v>106</v>
      </c>
      <c r="C65" s="67">
        <v>0</v>
      </c>
      <c r="D65" s="67">
        <v>0</v>
      </c>
      <c r="E65" s="67">
        <v>0</v>
      </c>
      <c r="F65" s="67">
        <v>0</v>
      </c>
      <c r="G65" s="110">
        <v>0</v>
      </c>
      <c r="H65" s="67">
        <v>0</v>
      </c>
      <c r="I65" s="67">
        <v>0</v>
      </c>
      <c r="J65" s="67">
        <v>0</v>
      </c>
      <c r="K65" s="67">
        <f t="shared" si="36"/>
        <v>1009</v>
      </c>
      <c r="L65" s="110">
        <v>1009</v>
      </c>
      <c r="M65" s="67">
        <v>0</v>
      </c>
      <c r="N65" s="67">
        <v>0</v>
      </c>
      <c r="O65" s="67">
        <v>0</v>
      </c>
      <c r="P65" s="67">
        <f t="shared" si="37"/>
        <v>0</v>
      </c>
      <c r="Q65" s="110">
        <v>0</v>
      </c>
      <c r="R65" s="67">
        <v>0</v>
      </c>
      <c r="S65" s="67">
        <v>0</v>
      </c>
      <c r="T65" s="67">
        <v>0</v>
      </c>
      <c r="U65" s="67">
        <f t="shared" si="0"/>
        <v>0</v>
      </c>
      <c r="V65" s="110">
        <v>0</v>
      </c>
      <c r="W65" s="67">
        <v>0</v>
      </c>
      <c r="X65" s="67">
        <v>0</v>
      </c>
      <c r="Y65" s="67">
        <v>0</v>
      </c>
      <c r="Z65" s="67">
        <v>0</v>
      </c>
      <c r="AA65" s="110">
        <v>0</v>
      </c>
      <c r="AB65" s="67">
        <v>0</v>
      </c>
      <c r="AC65" s="67">
        <v>0</v>
      </c>
      <c r="AD65" s="67">
        <v>0</v>
      </c>
      <c r="AE65" s="67"/>
      <c r="AF65" s="110">
        <f t="shared" si="38"/>
        <v>0</v>
      </c>
    </row>
    <row r="66" spans="2:32" x14ac:dyDescent="0.25">
      <c r="B66" s="112" t="s">
        <v>127</v>
      </c>
      <c r="C66" s="67">
        <v>0</v>
      </c>
      <c r="D66" s="67">
        <v>0</v>
      </c>
      <c r="E66" s="67">
        <v>0</v>
      </c>
      <c r="F66" s="67">
        <v>0</v>
      </c>
      <c r="G66" s="110">
        <v>0</v>
      </c>
      <c r="H66" s="67">
        <v>0</v>
      </c>
      <c r="I66" s="67">
        <v>0</v>
      </c>
      <c r="J66" s="67">
        <v>0</v>
      </c>
      <c r="K66" s="67">
        <f t="shared" si="36"/>
        <v>753</v>
      </c>
      <c r="L66" s="110">
        <v>753</v>
      </c>
      <c r="M66" s="67">
        <v>0</v>
      </c>
      <c r="N66" s="67">
        <v>0</v>
      </c>
      <c r="O66" s="67">
        <v>0</v>
      </c>
      <c r="P66" s="67">
        <f t="shared" si="37"/>
        <v>0</v>
      </c>
      <c r="Q66" s="110">
        <v>0</v>
      </c>
      <c r="R66" s="67">
        <v>0</v>
      </c>
      <c r="S66" s="67">
        <v>0</v>
      </c>
      <c r="T66" s="67">
        <v>0</v>
      </c>
      <c r="U66" s="67">
        <f t="shared" si="0"/>
        <v>0</v>
      </c>
      <c r="V66" s="110">
        <v>0</v>
      </c>
      <c r="W66" s="67">
        <v>0</v>
      </c>
      <c r="X66" s="67">
        <v>0</v>
      </c>
      <c r="Y66" s="67">
        <v>0</v>
      </c>
      <c r="Z66" s="67">
        <v>0</v>
      </c>
      <c r="AA66" s="110">
        <v>0</v>
      </c>
      <c r="AB66" s="67">
        <v>0</v>
      </c>
      <c r="AC66" s="67">
        <v>0</v>
      </c>
      <c r="AD66" s="67">
        <v>877</v>
      </c>
      <c r="AE66" s="67">
        <v>33</v>
      </c>
      <c r="AF66" s="110">
        <f t="shared" si="38"/>
        <v>910</v>
      </c>
    </row>
    <row r="67" spans="2:32" x14ac:dyDescent="0.25">
      <c r="B67" s="109" t="s">
        <v>202</v>
      </c>
      <c r="C67" s="67">
        <v>566</v>
      </c>
      <c r="D67" s="67">
        <f>566-C67+11</f>
        <v>11</v>
      </c>
      <c r="E67" s="67">
        <f>566+82-C67-D67</f>
        <v>71</v>
      </c>
      <c r="F67" s="67">
        <f t="shared" si="35"/>
        <v>0</v>
      </c>
      <c r="G67" s="110">
        <f>566+82</f>
        <v>648</v>
      </c>
      <c r="H67" s="67">
        <v>25</v>
      </c>
      <c r="I67" s="67">
        <f>29-H67</f>
        <v>4</v>
      </c>
      <c r="J67" s="67">
        <f>33-I67-H67</f>
        <v>4</v>
      </c>
      <c r="K67" s="67">
        <f t="shared" si="36"/>
        <v>1904</v>
      </c>
      <c r="L67" s="110">
        <v>1937</v>
      </c>
      <c r="M67" s="67">
        <v>31</v>
      </c>
      <c r="N67" s="67">
        <f>31-M67</f>
        <v>0</v>
      </c>
      <c r="O67" s="67">
        <f>54-N67-M67</f>
        <v>23</v>
      </c>
      <c r="P67" s="67">
        <f t="shared" si="37"/>
        <v>365</v>
      </c>
      <c r="Q67" s="110">
        <v>419</v>
      </c>
      <c r="R67" s="67">
        <v>8181</v>
      </c>
      <c r="S67" s="67">
        <v>0</v>
      </c>
      <c r="T67" s="67">
        <v>0</v>
      </c>
      <c r="U67" s="67">
        <f t="shared" si="0"/>
        <v>0</v>
      </c>
      <c r="V67" s="110">
        <v>8181</v>
      </c>
      <c r="W67" s="67">
        <v>0</v>
      </c>
      <c r="X67" s="67">
        <v>0</v>
      </c>
      <c r="Y67" s="67">
        <v>37</v>
      </c>
      <c r="Z67" s="67">
        <v>1425</v>
      </c>
      <c r="AA67" s="110">
        <v>1462</v>
      </c>
      <c r="AB67" s="67">
        <v>1643</v>
      </c>
      <c r="AC67" s="67">
        <v>0</v>
      </c>
      <c r="AD67" s="67">
        <v>-31</v>
      </c>
      <c r="AE67" s="67">
        <v>3</v>
      </c>
      <c r="AF67" s="110">
        <f t="shared" si="38"/>
        <v>1615</v>
      </c>
    </row>
    <row r="68" spans="2:32" x14ac:dyDescent="0.25">
      <c r="B68" s="109" t="s">
        <v>107</v>
      </c>
      <c r="C68" s="67">
        <v>3</v>
      </c>
      <c r="D68" s="67">
        <f>190-C68</f>
        <v>187</v>
      </c>
      <c r="E68" s="67">
        <f>208-C68-D68</f>
        <v>18</v>
      </c>
      <c r="F68" s="67">
        <f t="shared" si="35"/>
        <v>37</v>
      </c>
      <c r="G68" s="110">
        <v>245</v>
      </c>
      <c r="H68" s="67">
        <v>22</v>
      </c>
      <c r="I68" s="67">
        <f>226-H68</f>
        <v>204</v>
      </c>
      <c r="J68" s="67">
        <f>252-I68-H68</f>
        <v>26</v>
      </c>
      <c r="K68" s="67">
        <f t="shared" si="36"/>
        <v>288</v>
      </c>
      <c r="L68" s="110">
        <v>540</v>
      </c>
      <c r="M68" s="67">
        <v>20</v>
      </c>
      <c r="N68" s="67">
        <f>152-M68</f>
        <v>132</v>
      </c>
      <c r="O68" s="70">
        <f>144-M68-N68</f>
        <v>-8</v>
      </c>
      <c r="P68" s="67">
        <f t="shared" si="37"/>
        <v>941</v>
      </c>
      <c r="Q68" s="110">
        <v>1085</v>
      </c>
      <c r="R68" s="67">
        <v>0</v>
      </c>
      <c r="S68" s="67">
        <v>9</v>
      </c>
      <c r="T68" s="67">
        <v>26</v>
      </c>
      <c r="U68" s="67">
        <f t="shared" si="0"/>
        <v>511</v>
      </c>
      <c r="V68" s="110">
        <v>546</v>
      </c>
      <c r="W68" s="67">
        <v>2</v>
      </c>
      <c r="X68" s="67">
        <v>17.719112897558631</v>
      </c>
      <c r="Y68" s="67">
        <v>27</v>
      </c>
      <c r="Z68" s="67">
        <v>125.07441095278867</v>
      </c>
      <c r="AA68" s="110">
        <v>171.7935238503473</v>
      </c>
      <c r="AB68" s="67">
        <v>131</v>
      </c>
      <c r="AC68" s="67">
        <v>87</v>
      </c>
      <c r="AD68" s="67">
        <v>0</v>
      </c>
      <c r="AE68" s="67">
        <v>253</v>
      </c>
      <c r="AF68" s="110">
        <f t="shared" si="38"/>
        <v>471</v>
      </c>
    </row>
    <row r="69" spans="2:32" x14ac:dyDescent="0.25">
      <c r="B69" s="109" t="s">
        <v>108</v>
      </c>
      <c r="C69" s="67">
        <v>0</v>
      </c>
      <c r="D69" s="67">
        <v>0</v>
      </c>
      <c r="E69" s="67">
        <v>0</v>
      </c>
      <c r="F69" s="67">
        <v>0</v>
      </c>
      <c r="G69" s="110">
        <v>0</v>
      </c>
      <c r="H69" s="67">
        <v>0</v>
      </c>
      <c r="I69" s="67">
        <v>0</v>
      </c>
      <c r="J69" s="67">
        <v>0</v>
      </c>
      <c r="K69" s="67">
        <v>0</v>
      </c>
      <c r="L69" s="110">
        <v>0</v>
      </c>
      <c r="M69" s="67">
        <v>0</v>
      </c>
      <c r="N69" s="67">
        <v>0</v>
      </c>
      <c r="O69" s="70">
        <v>-124</v>
      </c>
      <c r="P69" s="70">
        <f t="shared" si="37"/>
        <v>-1</v>
      </c>
      <c r="Q69" s="111">
        <v>-125</v>
      </c>
      <c r="R69" s="70">
        <v>-203</v>
      </c>
      <c r="S69" s="67">
        <v>87</v>
      </c>
      <c r="T69" s="67">
        <v>0</v>
      </c>
      <c r="U69" s="67">
        <f t="shared" si="0"/>
        <v>-40</v>
      </c>
      <c r="V69" s="111">
        <v>-156</v>
      </c>
      <c r="W69" s="70">
        <v>-228</v>
      </c>
      <c r="X69" s="70">
        <v>0</v>
      </c>
      <c r="Y69" s="70">
        <v>0</v>
      </c>
      <c r="Z69" s="67">
        <v>6</v>
      </c>
      <c r="AA69" s="111">
        <v>-222</v>
      </c>
      <c r="AB69" s="67">
        <v>-36</v>
      </c>
      <c r="AC69" s="67">
        <v>191</v>
      </c>
      <c r="AD69" s="67">
        <v>-684</v>
      </c>
      <c r="AE69" s="67">
        <v>-64</v>
      </c>
      <c r="AF69" s="110">
        <f t="shared" si="38"/>
        <v>-593</v>
      </c>
    </row>
    <row r="70" spans="2:32" x14ac:dyDescent="0.25">
      <c r="B70" s="109" t="s">
        <v>109</v>
      </c>
      <c r="C70" s="70">
        <v>-646</v>
      </c>
      <c r="D70" s="70">
        <f>-1420-C70</f>
        <v>-774</v>
      </c>
      <c r="E70" s="70">
        <f>-2124-D70-C70</f>
        <v>-704</v>
      </c>
      <c r="F70" s="70">
        <f t="shared" si="35"/>
        <v>-902</v>
      </c>
      <c r="G70" s="111">
        <f>-3026</f>
        <v>-3026</v>
      </c>
      <c r="H70" s="70">
        <v>-568</v>
      </c>
      <c r="I70" s="70">
        <f>-1297-H70</f>
        <v>-729</v>
      </c>
      <c r="J70" s="70">
        <f>-1971-I70-H70</f>
        <v>-674</v>
      </c>
      <c r="K70" s="70">
        <f t="shared" si="36"/>
        <v>-1137</v>
      </c>
      <c r="L70" s="111">
        <v>-3108</v>
      </c>
      <c r="M70" s="70">
        <v>-342</v>
      </c>
      <c r="N70" s="70">
        <f>-856-M70</f>
        <v>-514</v>
      </c>
      <c r="O70" s="70">
        <f>-1448-M70-N70</f>
        <v>-592</v>
      </c>
      <c r="P70" s="70">
        <f t="shared" si="37"/>
        <v>-1119</v>
      </c>
      <c r="Q70" s="111">
        <v>-2567</v>
      </c>
      <c r="R70" s="70">
        <v>-463</v>
      </c>
      <c r="S70" s="70">
        <v>-719</v>
      </c>
      <c r="T70" s="70">
        <v>-799</v>
      </c>
      <c r="U70" s="70">
        <f t="shared" si="0"/>
        <v>-1208</v>
      </c>
      <c r="V70" s="111">
        <v>-3189</v>
      </c>
      <c r="W70" s="70">
        <v>-665</v>
      </c>
      <c r="X70" s="70">
        <v>-686</v>
      </c>
      <c r="Y70" s="70">
        <v>-869</v>
      </c>
      <c r="Z70" s="70">
        <v>-1296</v>
      </c>
      <c r="AA70" s="111">
        <v>-3516</v>
      </c>
      <c r="AB70" s="70">
        <v>-835</v>
      </c>
      <c r="AC70" s="67">
        <v>-1111</v>
      </c>
      <c r="AD70" s="67">
        <v>-1335</v>
      </c>
      <c r="AE70" s="67">
        <v>-2065</v>
      </c>
      <c r="AF70" s="110">
        <f t="shared" si="38"/>
        <v>-5346</v>
      </c>
    </row>
    <row r="71" spans="2:32" x14ac:dyDescent="0.25">
      <c r="B71" s="109" t="s">
        <v>110</v>
      </c>
      <c r="C71" s="70">
        <v>-1</v>
      </c>
      <c r="D71" s="67">
        <f>0-C71</f>
        <v>1</v>
      </c>
      <c r="E71" s="70">
        <f>-8-D71-C71</f>
        <v>-8</v>
      </c>
      <c r="F71" s="67">
        <f t="shared" si="35"/>
        <v>3</v>
      </c>
      <c r="G71" s="111">
        <v>-5</v>
      </c>
      <c r="H71" s="70">
        <v>-2</v>
      </c>
      <c r="I71" s="67">
        <f>-1-H71</f>
        <v>1</v>
      </c>
      <c r="J71" s="67">
        <f>-1-H71-I71</f>
        <v>0</v>
      </c>
      <c r="K71" s="70">
        <f t="shared" si="36"/>
        <v>-3</v>
      </c>
      <c r="L71" s="111">
        <v>-4</v>
      </c>
      <c r="M71" s="70">
        <v>-3</v>
      </c>
      <c r="N71" s="70">
        <f>-10-M71</f>
        <v>-7</v>
      </c>
      <c r="O71" s="67">
        <f>-10-M71-N71</f>
        <v>0</v>
      </c>
      <c r="P71" s="67">
        <f t="shared" si="37"/>
        <v>1</v>
      </c>
      <c r="Q71" s="111">
        <v>-9</v>
      </c>
      <c r="R71" s="67">
        <v>0</v>
      </c>
      <c r="S71" s="67">
        <v>0</v>
      </c>
      <c r="T71" s="67">
        <v>0</v>
      </c>
      <c r="U71" s="67">
        <f t="shared" si="0"/>
        <v>-11</v>
      </c>
      <c r="V71" s="111">
        <v>-11</v>
      </c>
      <c r="W71" s="67">
        <v>5</v>
      </c>
      <c r="X71" s="67">
        <v>-8.0711996145560505</v>
      </c>
      <c r="Y71" s="67">
        <v>-13</v>
      </c>
      <c r="Z71" s="67">
        <v>9.2683245864968029</v>
      </c>
      <c r="AA71" s="111">
        <v>-6.8028750280592476</v>
      </c>
      <c r="AB71" s="67">
        <v>1</v>
      </c>
      <c r="AC71" s="67">
        <v>-4</v>
      </c>
      <c r="AD71" s="67">
        <v>8</v>
      </c>
      <c r="AE71" s="67">
        <v>-5</v>
      </c>
      <c r="AF71" s="110">
        <f t="shared" si="38"/>
        <v>0</v>
      </c>
    </row>
    <row r="72" spans="2:32" x14ac:dyDescent="0.25">
      <c r="B72" s="137" t="s">
        <v>188</v>
      </c>
      <c r="C72" s="70">
        <v>-56</v>
      </c>
      <c r="D72" s="70">
        <f>-104-C72</f>
        <v>-48</v>
      </c>
      <c r="E72" s="67">
        <f>-97-D72-C72</f>
        <v>7</v>
      </c>
      <c r="F72" s="70">
        <f t="shared" si="35"/>
        <v>-84</v>
      </c>
      <c r="G72" s="111">
        <v>-181</v>
      </c>
      <c r="H72" s="70">
        <v>-12</v>
      </c>
      <c r="I72" s="70">
        <f>-13-H72</f>
        <v>-1</v>
      </c>
      <c r="J72" s="70">
        <f>-65-H72-I72</f>
        <v>-52</v>
      </c>
      <c r="K72" s="70">
        <f t="shared" si="36"/>
        <v>-109</v>
      </c>
      <c r="L72" s="111">
        <v>-174</v>
      </c>
      <c r="M72" s="70">
        <v>-7</v>
      </c>
      <c r="N72" s="67">
        <f>-1-M72</f>
        <v>6</v>
      </c>
      <c r="O72" s="70">
        <f>-108-M72-N72</f>
        <v>-107</v>
      </c>
      <c r="P72" s="70">
        <f t="shared" si="37"/>
        <v>-7</v>
      </c>
      <c r="Q72" s="111">
        <v>-115</v>
      </c>
      <c r="R72" s="70">
        <v>-9</v>
      </c>
      <c r="S72" s="67">
        <v>1</v>
      </c>
      <c r="T72" s="67">
        <v>-7</v>
      </c>
      <c r="U72" s="67">
        <f t="shared" si="0"/>
        <v>-44</v>
      </c>
      <c r="V72" s="111">
        <v>-59</v>
      </c>
      <c r="W72" s="70">
        <v>-6</v>
      </c>
      <c r="X72" s="70">
        <v>-1</v>
      </c>
      <c r="Y72" s="70">
        <v>4</v>
      </c>
      <c r="Z72" s="67">
        <v>-19</v>
      </c>
      <c r="AA72" s="111">
        <v>-22</v>
      </c>
      <c r="AB72" s="67">
        <v>0</v>
      </c>
      <c r="AC72" s="67">
        <v>-61</v>
      </c>
      <c r="AD72" s="67">
        <v>-200</v>
      </c>
      <c r="AE72" s="67">
        <v>-405</v>
      </c>
      <c r="AF72" s="110">
        <f t="shared" si="38"/>
        <v>-666</v>
      </c>
    </row>
    <row r="73" spans="2:32" x14ac:dyDescent="0.25">
      <c r="B73" s="137" t="s">
        <v>229</v>
      </c>
      <c r="C73" s="70">
        <v>0</v>
      </c>
      <c r="D73" s="70">
        <v>0</v>
      </c>
      <c r="E73" s="67">
        <v>0</v>
      </c>
      <c r="F73" s="70">
        <v>0</v>
      </c>
      <c r="G73" s="111">
        <v>0</v>
      </c>
      <c r="H73" s="70">
        <v>0</v>
      </c>
      <c r="I73" s="70">
        <v>0</v>
      </c>
      <c r="J73" s="70">
        <v>0</v>
      </c>
      <c r="K73" s="70">
        <v>0</v>
      </c>
      <c r="L73" s="111">
        <v>0</v>
      </c>
      <c r="M73" s="70">
        <v>0</v>
      </c>
      <c r="N73" s="67">
        <v>0</v>
      </c>
      <c r="O73" s="70">
        <v>0</v>
      </c>
      <c r="P73" s="70">
        <v>0</v>
      </c>
      <c r="Q73" s="111">
        <v>0</v>
      </c>
      <c r="R73" s="70">
        <v>0</v>
      </c>
      <c r="S73" s="67">
        <v>0</v>
      </c>
      <c r="T73" s="67">
        <v>0</v>
      </c>
      <c r="U73" s="67">
        <v>0</v>
      </c>
      <c r="V73" s="111">
        <v>0</v>
      </c>
      <c r="W73" s="70">
        <v>0</v>
      </c>
      <c r="X73" s="70">
        <v>0</v>
      </c>
      <c r="Y73" s="70">
        <v>0</v>
      </c>
      <c r="Z73" s="67">
        <v>0</v>
      </c>
      <c r="AA73" s="111">
        <v>0</v>
      </c>
      <c r="AB73" s="67">
        <v>0</v>
      </c>
      <c r="AC73" s="67">
        <v>0</v>
      </c>
      <c r="AD73" s="67">
        <v>0</v>
      </c>
      <c r="AE73" s="67">
        <v>-1368</v>
      </c>
      <c r="AF73" s="110">
        <f t="shared" si="38"/>
        <v>-1368</v>
      </c>
    </row>
    <row r="74" spans="2:32" x14ac:dyDescent="0.25">
      <c r="B74" s="137" t="s">
        <v>230</v>
      </c>
      <c r="C74" s="70">
        <v>0</v>
      </c>
      <c r="D74" s="70">
        <v>0</v>
      </c>
      <c r="E74" s="67">
        <v>0</v>
      </c>
      <c r="F74" s="70">
        <v>0</v>
      </c>
      <c r="G74" s="111">
        <v>0</v>
      </c>
      <c r="H74" s="70">
        <v>0</v>
      </c>
      <c r="I74" s="70">
        <v>0</v>
      </c>
      <c r="J74" s="70">
        <v>0</v>
      </c>
      <c r="K74" s="70">
        <v>0</v>
      </c>
      <c r="L74" s="111">
        <v>0</v>
      </c>
      <c r="M74" s="70">
        <v>0</v>
      </c>
      <c r="N74" s="67">
        <v>0</v>
      </c>
      <c r="O74" s="70">
        <v>0</v>
      </c>
      <c r="P74" s="70">
        <v>0</v>
      </c>
      <c r="Q74" s="111">
        <v>0</v>
      </c>
      <c r="R74" s="70">
        <v>0</v>
      </c>
      <c r="S74" s="67">
        <v>0</v>
      </c>
      <c r="T74" s="67">
        <v>0</v>
      </c>
      <c r="U74" s="67">
        <v>0</v>
      </c>
      <c r="V74" s="111">
        <v>0</v>
      </c>
      <c r="W74" s="70">
        <v>0</v>
      </c>
      <c r="X74" s="70">
        <v>0</v>
      </c>
      <c r="Y74" s="70">
        <v>0</v>
      </c>
      <c r="Z74" s="67">
        <v>0</v>
      </c>
      <c r="AA74" s="111">
        <v>0</v>
      </c>
      <c r="AB74" s="67">
        <v>0</v>
      </c>
      <c r="AC74" s="67">
        <v>0</v>
      </c>
      <c r="AD74" s="67">
        <v>0</v>
      </c>
      <c r="AE74" s="67">
        <v>-58</v>
      </c>
      <c r="AF74" s="110">
        <f t="shared" si="38"/>
        <v>-58</v>
      </c>
    </row>
    <row r="75" spans="2:32" x14ac:dyDescent="0.25">
      <c r="B75" s="109" t="s">
        <v>102</v>
      </c>
      <c r="C75" s="70">
        <v>0</v>
      </c>
      <c r="D75" s="70">
        <v>0</v>
      </c>
      <c r="E75" s="67">
        <v>0</v>
      </c>
      <c r="F75" s="70">
        <f t="shared" si="35"/>
        <v>0</v>
      </c>
      <c r="G75" s="111">
        <v>0</v>
      </c>
      <c r="H75" s="70">
        <v>0</v>
      </c>
      <c r="I75" s="70">
        <v>0</v>
      </c>
      <c r="J75" s="67">
        <v>0</v>
      </c>
      <c r="K75" s="70">
        <f t="shared" si="36"/>
        <v>0</v>
      </c>
      <c r="L75" s="111">
        <v>0</v>
      </c>
      <c r="M75" s="70">
        <v>0</v>
      </c>
      <c r="N75" s="70">
        <v>0</v>
      </c>
      <c r="O75" s="67">
        <v>0</v>
      </c>
      <c r="P75" s="70">
        <f t="shared" si="37"/>
        <v>0</v>
      </c>
      <c r="Q75" s="111">
        <v>0</v>
      </c>
      <c r="R75" s="70">
        <v>-1287</v>
      </c>
      <c r="S75" s="67"/>
      <c r="T75" s="67"/>
      <c r="U75" s="67">
        <f t="shared" si="0"/>
        <v>0</v>
      </c>
      <c r="V75" s="111">
        <v>-1287</v>
      </c>
      <c r="W75" s="70">
        <v>0</v>
      </c>
      <c r="X75" s="70">
        <v>0</v>
      </c>
      <c r="Y75" s="70">
        <v>0</v>
      </c>
      <c r="Z75" s="67">
        <v>0</v>
      </c>
      <c r="AA75" s="111">
        <v>0</v>
      </c>
      <c r="AB75" s="67">
        <v>0</v>
      </c>
      <c r="AC75" s="67">
        <v>0</v>
      </c>
      <c r="AD75" s="67">
        <v>0</v>
      </c>
      <c r="AE75" s="67"/>
      <c r="AF75" s="110">
        <f t="shared" si="38"/>
        <v>0</v>
      </c>
    </row>
    <row r="76" spans="2:32" x14ac:dyDescent="0.25">
      <c r="B76" s="101" t="s">
        <v>111</v>
      </c>
      <c r="C76" s="81">
        <f>SUM(C64:C75)</f>
        <v>-75</v>
      </c>
      <c r="D76" s="81">
        <f t="shared" ref="D76:T76" si="39">SUM(D64:D75)</f>
        <v>-592</v>
      </c>
      <c r="E76" s="81">
        <f t="shared" si="39"/>
        <v>-579</v>
      </c>
      <c r="F76" s="81">
        <f t="shared" si="39"/>
        <v>-694</v>
      </c>
      <c r="G76" s="118">
        <f t="shared" si="39"/>
        <v>-1940</v>
      </c>
      <c r="H76" s="81">
        <f t="shared" si="39"/>
        <v>-564</v>
      </c>
      <c r="I76" s="81">
        <f t="shared" si="39"/>
        <v>-462</v>
      </c>
      <c r="J76" s="81">
        <f t="shared" si="39"/>
        <v>-671</v>
      </c>
      <c r="K76" s="73">
        <f t="shared" si="39"/>
        <v>2828</v>
      </c>
      <c r="L76" s="117">
        <f t="shared" si="39"/>
        <v>1131</v>
      </c>
      <c r="M76" s="81">
        <f t="shared" si="39"/>
        <v>-250</v>
      </c>
      <c r="N76" s="81">
        <f t="shared" si="39"/>
        <v>-338</v>
      </c>
      <c r="O76" s="81">
        <f t="shared" si="39"/>
        <v>-756</v>
      </c>
      <c r="P76" s="73">
        <f t="shared" si="39"/>
        <v>209</v>
      </c>
      <c r="Q76" s="118">
        <f t="shared" ref="Q76" si="40">SUM(Q64:Q72)</f>
        <v>-1135</v>
      </c>
      <c r="R76" s="73">
        <f>SUM(R64:R75)</f>
        <v>6226</v>
      </c>
      <c r="S76" s="119">
        <f t="shared" si="39"/>
        <v>-571</v>
      </c>
      <c r="T76" s="81">
        <f t="shared" si="39"/>
        <v>-699</v>
      </c>
      <c r="U76" s="81">
        <f t="shared" si="0"/>
        <v>-799</v>
      </c>
      <c r="V76" s="118">
        <f t="shared" ref="V76:AA76" si="41">SUM(V64:V75)</f>
        <v>4157</v>
      </c>
      <c r="W76" s="73">
        <f t="shared" si="41"/>
        <v>-881</v>
      </c>
      <c r="X76" s="73">
        <f t="shared" si="41"/>
        <v>-652.35208671699741</v>
      </c>
      <c r="Y76" s="73">
        <f t="shared" si="41"/>
        <v>-782</v>
      </c>
      <c r="Z76" s="81">
        <f t="shared" si="41"/>
        <v>424.34273553928546</v>
      </c>
      <c r="AA76" s="118">
        <f t="shared" si="41"/>
        <v>-1891.0093511777118</v>
      </c>
      <c r="AB76" s="81">
        <f t="shared" ref="AB76:AF76" si="42">SUM(AB64:AB75)</f>
        <v>1143</v>
      </c>
      <c r="AC76" s="73">
        <f t="shared" ref="AC76:AE76" si="43">SUM(AC64:AC75)</f>
        <v>-851</v>
      </c>
      <c r="AD76" s="73">
        <f t="shared" si="43"/>
        <v>-1264</v>
      </c>
      <c r="AE76" s="73">
        <f t="shared" si="43"/>
        <v>-3223</v>
      </c>
      <c r="AF76" s="118">
        <f t="shared" si="42"/>
        <v>-4195</v>
      </c>
    </row>
    <row r="77" spans="2:32" x14ac:dyDescent="0.25">
      <c r="B77" s="109"/>
      <c r="C77" s="67"/>
      <c r="D77" s="67"/>
      <c r="E77" s="67"/>
      <c r="F77" s="67"/>
      <c r="G77" s="110"/>
      <c r="H77" s="67"/>
      <c r="I77" s="67"/>
      <c r="J77" s="67"/>
      <c r="K77" s="67"/>
      <c r="L77" s="110"/>
      <c r="M77" s="67"/>
      <c r="N77" s="67"/>
      <c r="O77" s="67"/>
      <c r="P77" s="67"/>
      <c r="Q77" s="110"/>
      <c r="R77" s="67"/>
      <c r="S77" s="67"/>
      <c r="T77" s="67"/>
      <c r="U77" s="67"/>
      <c r="V77" s="110"/>
      <c r="W77" s="67"/>
      <c r="X77" s="67"/>
      <c r="Y77" s="67"/>
      <c r="Z77" s="67"/>
      <c r="AA77" s="110"/>
      <c r="AB77" s="67"/>
      <c r="AC77" s="67"/>
      <c r="AD77" s="67"/>
      <c r="AE77" s="67"/>
      <c r="AF77" s="110"/>
    </row>
    <row r="78" spans="2:32" x14ac:dyDescent="0.25">
      <c r="B78" s="105" t="s">
        <v>112</v>
      </c>
      <c r="C78" s="67"/>
      <c r="D78" s="67"/>
      <c r="E78" s="67"/>
      <c r="F78" s="67"/>
      <c r="G78" s="110"/>
      <c r="H78" s="67"/>
      <c r="I78" s="67"/>
      <c r="J78" s="67"/>
      <c r="K78" s="67"/>
      <c r="L78" s="110"/>
      <c r="M78" s="67"/>
      <c r="N78" s="67"/>
      <c r="O78" s="67"/>
      <c r="P78" s="67"/>
      <c r="Q78" s="110"/>
      <c r="R78" s="67"/>
      <c r="S78" s="67"/>
      <c r="T78" s="67"/>
      <c r="U78" s="67"/>
      <c r="V78" s="110"/>
      <c r="W78" s="67"/>
      <c r="X78" s="67"/>
      <c r="Y78" s="67"/>
      <c r="Z78" s="67"/>
      <c r="AA78" s="110"/>
      <c r="AB78" s="67"/>
      <c r="AC78" s="67"/>
      <c r="AD78" s="67"/>
      <c r="AE78" s="67"/>
      <c r="AF78" s="110"/>
    </row>
    <row r="79" spans="2:32" x14ac:dyDescent="0.25">
      <c r="B79" s="109" t="s">
        <v>113</v>
      </c>
      <c r="C79" s="67">
        <v>1374</v>
      </c>
      <c r="D79" s="67">
        <f>1992-C79</f>
        <v>618</v>
      </c>
      <c r="E79" s="67">
        <f>3030-D79-C79</f>
        <v>1038</v>
      </c>
      <c r="F79" s="67">
        <f t="shared" ref="F79:F85" si="44">G79-SUM(C79:E79)</f>
        <v>3132</v>
      </c>
      <c r="G79" s="110">
        <v>6162</v>
      </c>
      <c r="H79" s="67">
        <v>1211</v>
      </c>
      <c r="I79" s="67">
        <f>3568-H79</f>
        <v>2357</v>
      </c>
      <c r="J79" s="67">
        <f>4393-H79-I79</f>
        <v>825</v>
      </c>
      <c r="K79" s="67">
        <f>L79-SUM(H79:J79)</f>
        <v>1006</v>
      </c>
      <c r="L79" s="110">
        <v>5399</v>
      </c>
      <c r="M79" s="67">
        <v>595</v>
      </c>
      <c r="N79" s="67">
        <f>2088-M79</f>
        <v>1493</v>
      </c>
      <c r="O79" s="67">
        <f>2924-M79-N79</f>
        <v>836</v>
      </c>
      <c r="P79" s="67">
        <f t="shared" ref="P79:P85" si="45">Q79-SUM(M79:O79)</f>
        <v>715</v>
      </c>
      <c r="Q79" s="110">
        <v>3639</v>
      </c>
      <c r="R79" s="67">
        <v>289</v>
      </c>
      <c r="S79" s="67">
        <v>2010</v>
      </c>
      <c r="T79" s="67">
        <v>674</v>
      </c>
      <c r="U79" s="67">
        <f t="shared" si="0"/>
        <v>1350</v>
      </c>
      <c r="V79" s="110">
        <v>4323</v>
      </c>
      <c r="W79" s="67">
        <v>3625</v>
      </c>
      <c r="X79" s="67">
        <v>5782</v>
      </c>
      <c r="Y79" s="67">
        <v>562</v>
      </c>
      <c r="Z79" s="67">
        <v>1803</v>
      </c>
      <c r="AA79" s="110">
        <v>11772</v>
      </c>
      <c r="AB79" s="67">
        <v>1149</v>
      </c>
      <c r="AC79" s="67">
        <v>1355</v>
      </c>
      <c r="AD79" s="67">
        <v>1029</v>
      </c>
      <c r="AE79" s="67">
        <v>881</v>
      </c>
      <c r="AF79" s="110">
        <f t="shared" ref="AF79:AF85" si="46">SUM(AB79:AE79)</f>
        <v>4414</v>
      </c>
    </row>
    <row r="80" spans="2:32" x14ac:dyDescent="0.25">
      <c r="B80" s="109" t="s">
        <v>114</v>
      </c>
      <c r="C80" s="70">
        <v>-3203</v>
      </c>
      <c r="D80" s="70">
        <f>-3927-C80</f>
        <v>-724</v>
      </c>
      <c r="E80" s="70">
        <f>-4664-D80-C80</f>
        <v>-737</v>
      </c>
      <c r="F80" s="70">
        <f t="shared" si="44"/>
        <v>-2712</v>
      </c>
      <c r="G80" s="111">
        <v>-7376</v>
      </c>
      <c r="H80" s="70">
        <v>-1083</v>
      </c>
      <c r="I80" s="70">
        <f>-2874-H80</f>
        <v>-1791</v>
      </c>
      <c r="J80" s="70">
        <f>-3818-I80-H80</f>
        <v>-944</v>
      </c>
      <c r="K80" s="70">
        <f>L80-SUM(H80:J80)</f>
        <v>-2063</v>
      </c>
      <c r="L80" s="111">
        <v>-5881</v>
      </c>
      <c r="M80" s="70">
        <v>-1961</v>
      </c>
      <c r="N80" s="70">
        <f>-3846-M80</f>
        <v>-1885</v>
      </c>
      <c r="O80" s="70">
        <f>-4812-M80-N80</f>
        <v>-966</v>
      </c>
      <c r="P80" s="70">
        <f t="shared" si="45"/>
        <v>-720</v>
      </c>
      <c r="Q80" s="111">
        <v>-5532</v>
      </c>
      <c r="R80" s="70">
        <v>-4372</v>
      </c>
      <c r="S80" s="70">
        <v>-2522</v>
      </c>
      <c r="T80" s="70">
        <v>-1263</v>
      </c>
      <c r="U80" s="70">
        <f t="shared" si="0"/>
        <v>-1199</v>
      </c>
      <c r="V80" s="111">
        <v>-9356</v>
      </c>
      <c r="W80" s="70">
        <v>-1299</v>
      </c>
      <c r="X80" s="70">
        <v>-3506</v>
      </c>
      <c r="Y80" s="70">
        <v>-2107</v>
      </c>
      <c r="Z80" s="70">
        <v>-3934</v>
      </c>
      <c r="AA80" s="111">
        <v>-10846</v>
      </c>
      <c r="AB80" s="70">
        <v>-1157</v>
      </c>
      <c r="AC80" s="67">
        <v>-2239</v>
      </c>
      <c r="AD80" s="67">
        <v>-1442</v>
      </c>
      <c r="AE80" s="67">
        <v>-1941</v>
      </c>
      <c r="AF80" s="110">
        <f t="shared" si="46"/>
        <v>-6779</v>
      </c>
    </row>
    <row r="81" spans="2:32" x14ac:dyDescent="0.25">
      <c r="B81" s="112" t="s">
        <v>169</v>
      </c>
      <c r="C81" s="82">
        <v>0</v>
      </c>
      <c r="D81" s="82">
        <v>0</v>
      </c>
      <c r="E81" s="82">
        <v>0</v>
      </c>
      <c r="F81" s="82">
        <v>0</v>
      </c>
      <c r="G81" s="110">
        <v>0</v>
      </c>
      <c r="H81" s="82">
        <v>0</v>
      </c>
      <c r="I81" s="82">
        <v>0</v>
      </c>
      <c r="J81" s="82">
        <v>0</v>
      </c>
      <c r="K81" s="82">
        <v>0</v>
      </c>
      <c r="L81" s="110">
        <v>0</v>
      </c>
      <c r="M81" s="82">
        <v>0</v>
      </c>
      <c r="N81" s="82">
        <v>0</v>
      </c>
      <c r="O81" s="82">
        <v>0</v>
      </c>
      <c r="P81" s="82">
        <v>0</v>
      </c>
      <c r="Q81" s="110">
        <v>0</v>
      </c>
      <c r="R81" s="70">
        <v>-52</v>
      </c>
      <c r="S81" s="70">
        <v>-32</v>
      </c>
      <c r="T81" s="70">
        <v>-55</v>
      </c>
      <c r="U81" s="70">
        <f t="shared" si="0"/>
        <v>-78</v>
      </c>
      <c r="V81" s="110">
        <v>-217</v>
      </c>
      <c r="W81" s="70">
        <v>-65</v>
      </c>
      <c r="X81" s="70">
        <v>-47</v>
      </c>
      <c r="Y81" s="70">
        <v>-66</v>
      </c>
      <c r="Z81" s="70">
        <v>-73</v>
      </c>
      <c r="AA81" s="110">
        <v>-251</v>
      </c>
      <c r="AB81" s="70">
        <v>-66</v>
      </c>
      <c r="AC81" s="67">
        <v>-135</v>
      </c>
      <c r="AD81" s="67">
        <v>-66</v>
      </c>
      <c r="AE81" s="67">
        <v>-96</v>
      </c>
      <c r="AF81" s="110">
        <f t="shared" si="46"/>
        <v>-363</v>
      </c>
    </row>
    <row r="82" spans="2:32" x14ac:dyDescent="0.25">
      <c r="B82" s="109" t="s">
        <v>84</v>
      </c>
      <c r="C82" s="70">
        <v>-23</v>
      </c>
      <c r="D82" s="70">
        <f>-133-C82</f>
        <v>-110</v>
      </c>
      <c r="E82" s="70">
        <f>-251-D82-C82</f>
        <v>-118</v>
      </c>
      <c r="F82" s="70">
        <f t="shared" si="44"/>
        <v>-120</v>
      </c>
      <c r="G82" s="111">
        <v>-371</v>
      </c>
      <c r="H82" s="70">
        <v>-81</v>
      </c>
      <c r="I82" s="70">
        <f>-115-H82</f>
        <v>-34</v>
      </c>
      <c r="J82" s="70">
        <f>-211-I82-H82</f>
        <v>-96</v>
      </c>
      <c r="K82" s="70">
        <f>L82-SUM(H82:J82)</f>
        <v>-350</v>
      </c>
      <c r="L82" s="111">
        <v>-561</v>
      </c>
      <c r="M82" s="70">
        <v>-50</v>
      </c>
      <c r="N82" s="67">
        <f>-7-M82</f>
        <v>43</v>
      </c>
      <c r="O82" s="70">
        <f>-12-M82-N82</f>
        <v>-5</v>
      </c>
      <c r="P82" s="67">
        <f t="shared" si="45"/>
        <v>1</v>
      </c>
      <c r="Q82" s="111">
        <v>-11</v>
      </c>
      <c r="R82" s="67">
        <v>60</v>
      </c>
      <c r="S82" s="70">
        <v>-68</v>
      </c>
      <c r="T82" s="70">
        <v>14</v>
      </c>
      <c r="U82" s="70">
        <f t="shared" ref="U82:U96" si="47">V82-SUM(R82:T82)</f>
        <v>-13</v>
      </c>
      <c r="V82" s="111">
        <v>-7</v>
      </c>
      <c r="W82" s="67">
        <v>103</v>
      </c>
      <c r="X82" s="67">
        <v>-35</v>
      </c>
      <c r="Y82" s="67">
        <v>11</v>
      </c>
      <c r="Z82" s="70">
        <v>-24</v>
      </c>
      <c r="AA82" s="111">
        <v>55</v>
      </c>
      <c r="AB82" s="70">
        <v>34</v>
      </c>
      <c r="AC82" s="67">
        <v>-2</v>
      </c>
      <c r="AD82" s="67">
        <v>-74</v>
      </c>
      <c r="AE82" s="67">
        <v>84</v>
      </c>
      <c r="AF82" s="110">
        <f t="shared" si="46"/>
        <v>42</v>
      </c>
    </row>
    <row r="83" spans="2:32" x14ac:dyDescent="0.25">
      <c r="B83" s="112" t="s">
        <v>128</v>
      </c>
      <c r="C83" s="67">
        <v>0</v>
      </c>
      <c r="D83" s="67">
        <v>0</v>
      </c>
      <c r="E83" s="67">
        <v>0</v>
      </c>
      <c r="F83" s="67">
        <v>0</v>
      </c>
      <c r="G83" s="110">
        <v>0</v>
      </c>
      <c r="H83" s="67">
        <v>0</v>
      </c>
      <c r="I83" s="67">
        <v>0</v>
      </c>
      <c r="J83" s="67">
        <v>0</v>
      </c>
      <c r="K83" s="67">
        <v>0</v>
      </c>
      <c r="L83" s="110">
        <v>0</v>
      </c>
      <c r="M83" s="70">
        <v>-95</v>
      </c>
      <c r="N83" s="67">
        <f>-95-M83</f>
        <v>0</v>
      </c>
      <c r="O83" s="67">
        <f>-95-M83-N83</f>
        <v>0</v>
      </c>
      <c r="P83" s="67">
        <f t="shared" si="45"/>
        <v>0</v>
      </c>
      <c r="Q83" s="111">
        <v>-95</v>
      </c>
      <c r="R83" s="67">
        <v>0</v>
      </c>
      <c r="S83" s="67">
        <v>0</v>
      </c>
      <c r="T83" s="67">
        <v>0</v>
      </c>
      <c r="U83" s="67">
        <f t="shared" si="47"/>
        <v>0</v>
      </c>
      <c r="V83" s="111">
        <v>0</v>
      </c>
      <c r="W83" s="67">
        <v>0</v>
      </c>
      <c r="X83" s="67">
        <v>0</v>
      </c>
      <c r="Y83" s="67">
        <v>0</v>
      </c>
      <c r="Z83" s="67">
        <v>0</v>
      </c>
      <c r="AA83" s="111">
        <v>0</v>
      </c>
      <c r="AB83" s="67">
        <v>0</v>
      </c>
      <c r="AC83" s="67">
        <v>0</v>
      </c>
      <c r="AD83" s="67">
        <v>0</v>
      </c>
      <c r="AE83" s="67"/>
      <c r="AF83" s="110">
        <f t="shared" si="46"/>
        <v>0</v>
      </c>
    </row>
    <row r="84" spans="2:32" x14ac:dyDescent="0.25">
      <c r="B84" s="112" t="s">
        <v>208</v>
      </c>
      <c r="C84" s="67">
        <v>0</v>
      </c>
      <c r="D84" s="67">
        <v>0</v>
      </c>
      <c r="E84" s="67">
        <v>0</v>
      </c>
      <c r="F84" s="67">
        <v>0</v>
      </c>
      <c r="G84" s="110">
        <v>0</v>
      </c>
      <c r="H84" s="67">
        <v>0</v>
      </c>
      <c r="I84" s="67">
        <v>0</v>
      </c>
      <c r="J84" s="67">
        <v>0</v>
      </c>
      <c r="K84" s="67">
        <v>0</v>
      </c>
      <c r="L84" s="110">
        <v>0</v>
      </c>
      <c r="M84" s="70">
        <v>0</v>
      </c>
      <c r="N84" s="67">
        <v>0</v>
      </c>
      <c r="O84" s="67">
        <v>0</v>
      </c>
      <c r="P84" s="67">
        <v>0</v>
      </c>
      <c r="Q84" s="111">
        <v>0</v>
      </c>
      <c r="R84" s="67">
        <v>0</v>
      </c>
      <c r="S84" s="67">
        <v>0</v>
      </c>
      <c r="T84" s="67">
        <v>0</v>
      </c>
      <c r="U84" s="67">
        <v>0</v>
      </c>
      <c r="V84" s="111">
        <v>0</v>
      </c>
      <c r="W84" s="67">
        <v>0</v>
      </c>
      <c r="X84" s="67">
        <v>0</v>
      </c>
      <c r="Y84" s="67">
        <v>0</v>
      </c>
      <c r="Z84" s="67">
        <v>0</v>
      </c>
      <c r="AA84" s="111">
        <v>0</v>
      </c>
      <c r="AB84" s="67">
        <v>0</v>
      </c>
      <c r="AC84" s="67">
        <v>0</v>
      </c>
      <c r="AD84" s="67">
        <v>657</v>
      </c>
      <c r="AE84" s="67">
        <v>0</v>
      </c>
      <c r="AF84" s="110">
        <f t="shared" si="46"/>
        <v>657</v>
      </c>
    </row>
    <row r="85" spans="2:32" x14ac:dyDescent="0.25">
      <c r="B85" s="109" t="s">
        <v>115</v>
      </c>
      <c r="C85" s="70">
        <v>-5</v>
      </c>
      <c r="D85" s="70">
        <f>-71-C85</f>
        <v>-66</v>
      </c>
      <c r="E85" s="70">
        <f>-76-D85-C85</f>
        <v>-5</v>
      </c>
      <c r="F85" s="70">
        <f t="shared" si="44"/>
        <v>-29</v>
      </c>
      <c r="G85" s="111">
        <v>-105</v>
      </c>
      <c r="H85" s="70">
        <v>-4</v>
      </c>
      <c r="I85" s="70">
        <f>-160-H85</f>
        <v>-156</v>
      </c>
      <c r="J85" s="70">
        <f>-194-H85-I85</f>
        <v>-34</v>
      </c>
      <c r="K85" s="70">
        <f>L85-SUM(H85:J85)</f>
        <v>-165</v>
      </c>
      <c r="L85" s="111">
        <v>-359</v>
      </c>
      <c r="M85" s="70">
        <v>-8</v>
      </c>
      <c r="N85" s="70">
        <f>-538-M85</f>
        <v>-530</v>
      </c>
      <c r="O85" s="70">
        <f>-781-25-M85-N85</f>
        <v>-268</v>
      </c>
      <c r="P85" s="70">
        <f t="shared" si="45"/>
        <v>-44</v>
      </c>
      <c r="Q85" s="111">
        <f>-789-61</f>
        <v>-850</v>
      </c>
      <c r="R85" s="70">
        <v>-1139</v>
      </c>
      <c r="S85" s="70">
        <v>-28</v>
      </c>
      <c r="T85" s="70">
        <v>-445</v>
      </c>
      <c r="U85" s="70">
        <f t="shared" si="47"/>
        <v>-27</v>
      </c>
      <c r="V85" s="111">
        <v>-1639</v>
      </c>
      <c r="W85" s="70">
        <v>-490</v>
      </c>
      <c r="X85" s="70">
        <v>-70</v>
      </c>
      <c r="Y85" s="70">
        <v>-7</v>
      </c>
      <c r="Z85" s="70">
        <v>-474</v>
      </c>
      <c r="AA85" s="111">
        <v>-1041</v>
      </c>
      <c r="AB85" s="70">
        <v>-583</v>
      </c>
      <c r="AC85" s="67">
        <v>-16</v>
      </c>
      <c r="AD85" s="67">
        <v>-520</v>
      </c>
      <c r="AE85" s="67">
        <v>-13</v>
      </c>
      <c r="AF85" s="110">
        <f t="shared" si="46"/>
        <v>-1132</v>
      </c>
    </row>
    <row r="86" spans="2:32" x14ac:dyDescent="0.25">
      <c r="B86" s="101" t="s">
        <v>116</v>
      </c>
      <c r="C86" s="81">
        <f t="shared" ref="C86:R86" si="48">SUM(C79:C85)</f>
        <v>-1857</v>
      </c>
      <c r="D86" s="81">
        <f t="shared" si="48"/>
        <v>-282</v>
      </c>
      <c r="E86" s="73">
        <f t="shared" si="48"/>
        <v>178</v>
      </c>
      <c r="F86" s="73">
        <f t="shared" si="48"/>
        <v>271</v>
      </c>
      <c r="G86" s="118">
        <f t="shared" si="48"/>
        <v>-1690</v>
      </c>
      <c r="H86" s="73">
        <f t="shared" si="48"/>
        <v>43</v>
      </c>
      <c r="I86" s="73">
        <f t="shared" si="48"/>
        <v>376</v>
      </c>
      <c r="J86" s="81">
        <f t="shared" si="48"/>
        <v>-249</v>
      </c>
      <c r="K86" s="81">
        <f t="shared" si="48"/>
        <v>-1572</v>
      </c>
      <c r="L86" s="118">
        <f t="shared" si="48"/>
        <v>-1402</v>
      </c>
      <c r="M86" s="81">
        <f t="shared" si="48"/>
        <v>-1519</v>
      </c>
      <c r="N86" s="81">
        <f t="shared" si="48"/>
        <v>-879</v>
      </c>
      <c r="O86" s="81">
        <f t="shared" si="48"/>
        <v>-403</v>
      </c>
      <c r="P86" s="81">
        <f t="shared" si="48"/>
        <v>-48</v>
      </c>
      <c r="Q86" s="118">
        <f t="shared" si="48"/>
        <v>-2849</v>
      </c>
      <c r="R86" s="81">
        <f t="shared" si="48"/>
        <v>-5214</v>
      </c>
      <c r="S86" s="81">
        <f t="shared" ref="S86:T86" si="49">SUM(S79:S85)</f>
        <v>-640</v>
      </c>
      <c r="T86" s="81">
        <f t="shared" si="49"/>
        <v>-1075</v>
      </c>
      <c r="U86" s="81">
        <f t="shared" si="47"/>
        <v>33</v>
      </c>
      <c r="V86" s="118">
        <f t="shared" ref="V86:X86" si="50">SUM(V79:V85)</f>
        <v>-6896</v>
      </c>
      <c r="W86" s="81">
        <f t="shared" si="50"/>
        <v>1874</v>
      </c>
      <c r="X86" s="81">
        <f t="shared" si="50"/>
        <v>2124</v>
      </c>
      <c r="Y86" s="81">
        <f t="shared" ref="Y86:AA86" si="51">SUM(Y79:Y85)</f>
        <v>-1607</v>
      </c>
      <c r="Z86" s="81">
        <f t="shared" si="51"/>
        <v>-2702</v>
      </c>
      <c r="AA86" s="118">
        <f t="shared" si="51"/>
        <v>-311</v>
      </c>
      <c r="AB86" s="81">
        <f t="shared" ref="AB86:AF86" si="52">SUM(AB79:AB85)</f>
        <v>-623</v>
      </c>
      <c r="AC86" s="81">
        <f t="shared" ref="AC86:AD86" si="53">SUM(AC79:AC85)</f>
        <v>-1037</v>
      </c>
      <c r="AD86" s="81">
        <f t="shared" si="53"/>
        <v>-416</v>
      </c>
      <c r="AE86" s="81">
        <f t="shared" ref="AE86" si="54">SUM(AE79:AE85)</f>
        <v>-1085</v>
      </c>
      <c r="AF86" s="118">
        <f t="shared" si="52"/>
        <v>-3161</v>
      </c>
    </row>
    <row r="87" spans="2:32" x14ac:dyDescent="0.25">
      <c r="B87" s="109"/>
      <c r="C87" s="67"/>
      <c r="D87" s="67"/>
      <c r="E87" s="67"/>
      <c r="F87" s="67"/>
      <c r="G87" s="110"/>
      <c r="H87" s="67"/>
      <c r="I87" s="67"/>
      <c r="J87" s="67"/>
      <c r="K87" s="67"/>
      <c r="L87" s="110"/>
      <c r="M87" s="67"/>
      <c r="N87" s="67"/>
      <c r="O87" s="67"/>
      <c r="P87" s="67"/>
      <c r="Q87" s="110"/>
      <c r="R87" s="67"/>
      <c r="S87" s="67"/>
      <c r="T87" s="67"/>
      <c r="U87" s="67"/>
      <c r="V87" s="110"/>
      <c r="W87" s="67"/>
      <c r="X87" s="67"/>
      <c r="Y87" s="67"/>
      <c r="Z87" s="67"/>
      <c r="AA87" s="110"/>
      <c r="AB87" s="67"/>
      <c r="AC87" s="67"/>
      <c r="AD87" s="67"/>
      <c r="AE87" s="67"/>
      <c r="AF87" s="110"/>
    </row>
    <row r="88" spans="2:32" x14ac:dyDescent="0.25">
      <c r="B88" s="109" t="s">
        <v>117</v>
      </c>
      <c r="C88" s="68">
        <f t="shared" ref="C88:R88" si="55">C61+C76+C86</f>
        <v>-678</v>
      </c>
      <c r="D88" s="68">
        <f t="shared" si="55"/>
        <v>11</v>
      </c>
      <c r="E88" s="68">
        <f t="shared" si="55"/>
        <v>-367</v>
      </c>
      <c r="F88" s="68">
        <f t="shared" si="55"/>
        <v>2196</v>
      </c>
      <c r="G88" s="120">
        <f t="shared" si="55"/>
        <v>1162</v>
      </c>
      <c r="H88" s="68">
        <f t="shared" si="55"/>
        <v>-1009</v>
      </c>
      <c r="I88" s="68">
        <f t="shared" si="55"/>
        <v>143</v>
      </c>
      <c r="J88" s="68">
        <f t="shared" si="55"/>
        <v>-332</v>
      </c>
      <c r="K88" s="68">
        <f t="shared" si="55"/>
        <v>3038</v>
      </c>
      <c r="L88" s="120">
        <f t="shared" si="55"/>
        <v>1840</v>
      </c>
      <c r="M88" s="68">
        <f t="shared" si="55"/>
        <v>-2299</v>
      </c>
      <c r="N88" s="68">
        <f t="shared" si="55"/>
        <v>-390</v>
      </c>
      <c r="O88" s="68">
        <f t="shared" si="55"/>
        <v>-544</v>
      </c>
      <c r="P88" s="68">
        <f t="shared" si="55"/>
        <v>1264</v>
      </c>
      <c r="Q88" s="120">
        <f t="shared" si="55"/>
        <v>-1969</v>
      </c>
      <c r="R88" s="68">
        <f t="shared" si="55"/>
        <v>-704</v>
      </c>
      <c r="S88" s="68">
        <f t="shared" ref="S88:T88" si="56">S61+S76+S86</f>
        <v>-1892</v>
      </c>
      <c r="T88" s="68">
        <f t="shared" si="56"/>
        <v>601</v>
      </c>
      <c r="U88" s="68">
        <f t="shared" si="47"/>
        <v>353</v>
      </c>
      <c r="V88" s="120">
        <f t="shared" ref="V88:X88" si="57">V61+V76+V86</f>
        <v>-1642</v>
      </c>
      <c r="W88" s="68">
        <f t="shared" si="57"/>
        <v>-578</v>
      </c>
      <c r="X88" s="68">
        <f t="shared" si="57"/>
        <v>2033.9187913207825</v>
      </c>
      <c r="Y88" s="68">
        <f t="shared" ref="Y88:AA88" si="58">Y61+Y76+Y86</f>
        <v>568</v>
      </c>
      <c r="Z88" s="68">
        <f t="shared" si="58"/>
        <v>206.69737696800075</v>
      </c>
      <c r="AA88" s="120">
        <f t="shared" si="58"/>
        <v>2230.6161682887828</v>
      </c>
      <c r="AB88" s="68">
        <f>AB61+AB76+AB86</f>
        <v>1260</v>
      </c>
      <c r="AC88" s="144">
        <f t="shared" ref="AC88:AD88" si="59">AC61+AC76+AC86</f>
        <v>-21</v>
      </c>
      <c r="AD88" s="68">
        <f t="shared" si="59"/>
        <v>1617</v>
      </c>
      <c r="AE88" s="68">
        <f t="shared" ref="AE88" si="60">AE61+AE76+AE86</f>
        <v>956</v>
      </c>
      <c r="AF88" s="120">
        <f>SUM(AB88:AE88)</f>
        <v>3812</v>
      </c>
    </row>
    <row r="89" spans="2:32" x14ac:dyDescent="0.25">
      <c r="B89" s="109"/>
      <c r="C89" s="67"/>
      <c r="D89" s="67"/>
      <c r="E89" s="67"/>
      <c r="F89" s="70"/>
      <c r="G89" s="111"/>
      <c r="H89" s="70"/>
      <c r="I89" s="67"/>
      <c r="J89" s="67"/>
      <c r="K89" s="70"/>
      <c r="L89" s="110"/>
      <c r="M89" s="67"/>
      <c r="N89" s="67"/>
      <c r="O89" s="67"/>
      <c r="P89" s="70"/>
      <c r="Q89" s="110"/>
      <c r="R89" s="67"/>
      <c r="S89" s="67"/>
      <c r="T89" s="67"/>
      <c r="U89" s="67"/>
      <c r="V89" s="110"/>
      <c r="W89" s="67"/>
      <c r="X89" s="67"/>
      <c r="Y89" s="67"/>
      <c r="Z89" s="67"/>
      <c r="AA89" s="110"/>
      <c r="AB89" s="67"/>
      <c r="AC89" s="67"/>
      <c r="AD89" s="67"/>
      <c r="AE89" s="67"/>
      <c r="AF89" s="110"/>
    </row>
    <row r="90" spans="2:32" x14ac:dyDescent="0.25">
      <c r="B90" s="112" t="s">
        <v>129</v>
      </c>
      <c r="C90" s="67">
        <v>177</v>
      </c>
      <c r="D90" s="67">
        <f>177-C90</f>
        <v>0</v>
      </c>
      <c r="E90" s="67">
        <f>177-D90-C90</f>
        <v>0</v>
      </c>
      <c r="F90" s="67">
        <f t="shared" ref="F90:F93" si="61">G90-SUM(C90:E90)</f>
        <v>0</v>
      </c>
      <c r="G90" s="110">
        <v>177</v>
      </c>
      <c r="H90" s="67">
        <v>0</v>
      </c>
      <c r="I90" s="67">
        <v>0</v>
      </c>
      <c r="J90" s="67">
        <v>0</v>
      </c>
      <c r="K90" s="67">
        <f>L90-SUM(H90:J90)</f>
        <v>0</v>
      </c>
      <c r="L90" s="110">
        <v>0</v>
      </c>
      <c r="M90" s="67">
        <v>0</v>
      </c>
      <c r="N90" s="67">
        <v>0</v>
      </c>
      <c r="O90" s="67">
        <v>0</v>
      </c>
      <c r="P90" s="67">
        <f>Q90-SUM(M90:O90)</f>
        <v>0</v>
      </c>
      <c r="Q90" s="110">
        <v>0</v>
      </c>
      <c r="R90" s="67">
        <v>0</v>
      </c>
      <c r="S90" s="67">
        <v>0</v>
      </c>
      <c r="T90" s="67">
        <v>0</v>
      </c>
      <c r="U90" s="67">
        <f t="shared" si="47"/>
        <v>0</v>
      </c>
      <c r="V90" s="110">
        <v>0</v>
      </c>
      <c r="W90" s="67">
        <v>0</v>
      </c>
      <c r="X90" s="67">
        <v>0</v>
      </c>
      <c r="Y90" s="67">
        <v>0</v>
      </c>
      <c r="Z90" s="67">
        <v>0</v>
      </c>
      <c r="AA90" s="110">
        <v>0</v>
      </c>
      <c r="AB90" s="67">
        <v>0</v>
      </c>
      <c r="AC90" s="67">
        <v>0</v>
      </c>
      <c r="AD90" s="67">
        <v>0</v>
      </c>
      <c r="AE90" s="67">
        <v>0</v>
      </c>
      <c r="AF90" s="110">
        <f t="shared" ref="AF90:AF94" si="62">SUM(AB90:AE90)</f>
        <v>0</v>
      </c>
    </row>
    <row r="91" spans="2:32" x14ac:dyDescent="0.25">
      <c r="B91" s="112" t="s">
        <v>131</v>
      </c>
      <c r="C91" s="67">
        <v>0</v>
      </c>
      <c r="D91" s="67">
        <v>0</v>
      </c>
      <c r="E91" s="67">
        <v>0</v>
      </c>
      <c r="F91" s="67">
        <v>0</v>
      </c>
      <c r="G91" s="110">
        <v>0</v>
      </c>
      <c r="H91" s="67">
        <v>0</v>
      </c>
      <c r="I91" s="67">
        <v>0</v>
      </c>
      <c r="J91" s="67">
        <v>0</v>
      </c>
      <c r="K91" s="67">
        <f>L91-SUM(H91:J91)</f>
        <v>0</v>
      </c>
      <c r="L91" s="110">
        <v>0</v>
      </c>
      <c r="M91" s="67">
        <v>0</v>
      </c>
      <c r="N91" s="67">
        <v>0</v>
      </c>
      <c r="O91" s="67">
        <v>0</v>
      </c>
      <c r="P91" s="67">
        <f>Q91-SUM(M91:O91)</f>
        <v>0</v>
      </c>
      <c r="Q91" s="110">
        <v>0</v>
      </c>
      <c r="R91" s="67">
        <v>0</v>
      </c>
      <c r="S91" s="67">
        <v>0</v>
      </c>
      <c r="T91" s="67">
        <v>0</v>
      </c>
      <c r="U91" s="67">
        <f t="shared" si="47"/>
        <v>0</v>
      </c>
      <c r="V91" s="110">
        <v>0</v>
      </c>
      <c r="W91" s="67">
        <v>0</v>
      </c>
      <c r="X91" s="67">
        <v>0</v>
      </c>
      <c r="Y91" s="67">
        <v>0</v>
      </c>
      <c r="Z91" s="67">
        <v>0</v>
      </c>
      <c r="AA91" s="110">
        <v>0</v>
      </c>
      <c r="AB91" s="67">
        <v>0</v>
      </c>
      <c r="AC91" s="67">
        <v>0</v>
      </c>
      <c r="AD91" s="67">
        <v>0</v>
      </c>
      <c r="AE91" s="67">
        <v>0</v>
      </c>
      <c r="AF91" s="110">
        <f t="shared" si="62"/>
        <v>0</v>
      </c>
    </row>
    <row r="92" spans="2:32" x14ac:dyDescent="0.25">
      <c r="B92" s="109" t="s">
        <v>118</v>
      </c>
      <c r="C92" s="67">
        <v>0</v>
      </c>
      <c r="D92" s="67">
        <v>0</v>
      </c>
      <c r="E92" s="67">
        <v>0</v>
      </c>
      <c r="F92" s="67">
        <v>0</v>
      </c>
      <c r="G92" s="110">
        <v>0</v>
      </c>
      <c r="H92" s="67">
        <v>0</v>
      </c>
      <c r="I92" s="67">
        <v>0</v>
      </c>
      <c r="J92" s="67">
        <v>0</v>
      </c>
      <c r="K92" s="67">
        <v>0</v>
      </c>
      <c r="L92" s="110">
        <v>0</v>
      </c>
      <c r="M92" s="67">
        <v>0</v>
      </c>
      <c r="N92" s="70">
        <f>-14-M92</f>
        <v>-14</v>
      </c>
      <c r="O92" s="67">
        <f>-14-M92-N92</f>
        <v>0</v>
      </c>
      <c r="P92" s="70">
        <f>Q92-SUM(M92:O92)</f>
        <v>-95</v>
      </c>
      <c r="Q92" s="111">
        <f>-109</f>
        <v>-109</v>
      </c>
      <c r="R92" s="67">
        <v>0</v>
      </c>
      <c r="S92" s="67">
        <v>0</v>
      </c>
      <c r="T92" s="67">
        <v>0</v>
      </c>
      <c r="U92" s="67">
        <f t="shared" si="47"/>
        <v>0</v>
      </c>
      <c r="V92" s="111">
        <v>0</v>
      </c>
      <c r="W92" s="67">
        <v>7</v>
      </c>
      <c r="X92" s="67">
        <v>0</v>
      </c>
      <c r="Y92" s="67">
        <v>0</v>
      </c>
      <c r="Z92" s="67">
        <v>0</v>
      </c>
      <c r="AA92" s="111">
        <v>7</v>
      </c>
      <c r="AB92" s="67">
        <v>0</v>
      </c>
      <c r="AC92" s="77">
        <v>31</v>
      </c>
      <c r="AD92" s="67">
        <v>19</v>
      </c>
      <c r="AE92" s="67">
        <v>-183</v>
      </c>
      <c r="AF92" s="110">
        <f t="shared" si="62"/>
        <v>-133</v>
      </c>
    </row>
    <row r="93" spans="2:32" x14ac:dyDescent="0.25">
      <c r="B93" s="109" t="s">
        <v>119</v>
      </c>
      <c r="C93" s="70">
        <v>-369</v>
      </c>
      <c r="D93" s="70">
        <f>-800-C93</f>
        <v>-431</v>
      </c>
      <c r="E93" s="67">
        <f>-784-D93-C93</f>
        <v>16</v>
      </c>
      <c r="F93" s="70">
        <f t="shared" si="61"/>
        <v>-258</v>
      </c>
      <c r="G93" s="111">
        <v>-1042</v>
      </c>
      <c r="H93" s="70">
        <v>-119</v>
      </c>
      <c r="I93" s="67">
        <f>481-H93</f>
        <v>600</v>
      </c>
      <c r="J93" s="70">
        <f>39-I93-H93</f>
        <v>-442</v>
      </c>
      <c r="K93" s="67">
        <f>L93-SUM(H93:J93)</f>
        <v>352</v>
      </c>
      <c r="L93" s="110">
        <v>391</v>
      </c>
      <c r="M93" s="67">
        <v>57</v>
      </c>
      <c r="N93" s="67">
        <f>796-M93</f>
        <v>739</v>
      </c>
      <c r="O93" s="67">
        <f>1031-M93-N93</f>
        <v>235</v>
      </c>
      <c r="P93" s="70">
        <f>Q93-SUM(M93:O93)</f>
        <v>-171</v>
      </c>
      <c r="Q93" s="110">
        <v>860</v>
      </c>
      <c r="R93" s="70">
        <v>-42</v>
      </c>
      <c r="S93" s="70">
        <v>-85</v>
      </c>
      <c r="T93" s="70">
        <v>476</v>
      </c>
      <c r="U93" s="70">
        <f t="shared" si="47"/>
        <v>-187</v>
      </c>
      <c r="V93" s="110">
        <v>162</v>
      </c>
      <c r="W93" s="70">
        <v>1088</v>
      </c>
      <c r="X93" s="70">
        <v>299</v>
      </c>
      <c r="Y93" s="70">
        <v>246</v>
      </c>
      <c r="Z93" s="70">
        <v>-350</v>
      </c>
      <c r="AA93" s="110">
        <v>1283</v>
      </c>
      <c r="AB93" s="70">
        <v>643</v>
      </c>
      <c r="AC93" s="67">
        <v>-984</v>
      </c>
      <c r="AD93" s="67">
        <v>557</v>
      </c>
      <c r="AE93" s="67">
        <v>3</v>
      </c>
      <c r="AF93" s="110">
        <f t="shared" si="62"/>
        <v>219</v>
      </c>
    </row>
    <row r="94" spans="2:32" x14ac:dyDescent="0.25">
      <c r="B94" s="109" t="s">
        <v>195</v>
      </c>
      <c r="C94" s="70">
        <v>0</v>
      </c>
      <c r="D94" s="70">
        <v>0</v>
      </c>
      <c r="E94" s="67">
        <v>0</v>
      </c>
      <c r="F94" s="70">
        <v>0</v>
      </c>
      <c r="G94" s="111">
        <v>0</v>
      </c>
      <c r="H94" s="70">
        <v>0</v>
      </c>
      <c r="I94" s="67">
        <v>0</v>
      </c>
      <c r="J94" s="70">
        <v>0</v>
      </c>
      <c r="K94" s="67">
        <v>0</v>
      </c>
      <c r="L94" s="110">
        <v>0</v>
      </c>
      <c r="M94" s="67">
        <v>0</v>
      </c>
      <c r="N94" s="67">
        <v>0</v>
      </c>
      <c r="O94" s="67">
        <v>0</v>
      </c>
      <c r="P94" s="70">
        <v>0</v>
      </c>
      <c r="Q94" s="110">
        <v>0</v>
      </c>
      <c r="R94" s="70">
        <v>0</v>
      </c>
      <c r="S94" s="70">
        <v>0</v>
      </c>
      <c r="T94" s="70">
        <v>0</v>
      </c>
      <c r="U94" s="70">
        <v>0</v>
      </c>
      <c r="V94" s="110">
        <v>0</v>
      </c>
      <c r="W94" s="70">
        <v>0</v>
      </c>
      <c r="X94" s="70">
        <v>0</v>
      </c>
      <c r="Y94" s="70">
        <v>378</v>
      </c>
      <c r="Z94" s="70">
        <v>0</v>
      </c>
      <c r="AA94" s="110">
        <v>0</v>
      </c>
      <c r="AB94" s="70">
        <v>0</v>
      </c>
      <c r="AC94" s="67">
        <v>0</v>
      </c>
      <c r="AD94" s="67">
        <v>0</v>
      </c>
      <c r="AE94" s="67">
        <v>0</v>
      </c>
      <c r="AF94" s="110">
        <f t="shared" si="62"/>
        <v>0</v>
      </c>
    </row>
    <row r="95" spans="2:32" x14ac:dyDescent="0.25">
      <c r="B95" s="109" t="s">
        <v>120</v>
      </c>
      <c r="C95" s="67">
        <v>6649</v>
      </c>
      <c r="D95" s="67">
        <v>5779</v>
      </c>
      <c r="E95" s="67">
        <v>5359</v>
      </c>
      <c r="F95" s="67">
        <v>5008</v>
      </c>
      <c r="G95" s="110">
        <v>6649</v>
      </c>
      <c r="H95" s="67">
        <v>6946</v>
      </c>
      <c r="I95" s="67">
        <v>5818</v>
      </c>
      <c r="J95" s="67">
        <v>6561</v>
      </c>
      <c r="K95" s="67">
        <v>5788</v>
      </c>
      <c r="L95" s="110">
        <v>6946</v>
      </c>
      <c r="M95" s="67">
        <v>8960</v>
      </c>
      <c r="N95" s="67">
        <v>6718</v>
      </c>
      <c r="O95" s="67">
        <v>7053</v>
      </c>
      <c r="P95" s="67">
        <v>6754</v>
      </c>
      <c r="Q95" s="110">
        <v>8960</v>
      </c>
      <c r="R95" s="67">
        <v>7667</v>
      </c>
      <c r="S95" s="67">
        <v>6921</v>
      </c>
      <c r="T95" s="67">
        <v>4944</v>
      </c>
      <c r="U95" s="67">
        <f t="shared" si="47"/>
        <v>-11790</v>
      </c>
      <c r="V95" s="110">
        <v>7742</v>
      </c>
      <c r="W95" s="67">
        <v>6262</v>
      </c>
      <c r="X95" s="67">
        <v>6779</v>
      </c>
      <c r="Y95" s="67">
        <v>9111.9187913207825</v>
      </c>
      <c r="Z95" s="67">
        <v>10303.918791320782</v>
      </c>
      <c r="AA95" s="110">
        <v>6262</v>
      </c>
      <c r="AB95" s="67">
        <v>9783</v>
      </c>
      <c r="AC95" s="67">
        <v>11686</v>
      </c>
      <c r="AD95" s="67">
        <f>AC96</f>
        <v>10712</v>
      </c>
      <c r="AE95" s="67">
        <f>AD96</f>
        <v>12905</v>
      </c>
      <c r="AF95" s="110">
        <f>AB95</f>
        <v>9783</v>
      </c>
    </row>
    <row r="96" spans="2:32" ht="14.95" thickBot="1" x14ac:dyDescent="0.3">
      <c r="B96" s="105" t="s">
        <v>121</v>
      </c>
      <c r="C96" s="75">
        <f t="shared" ref="C96:O96" si="63">SUM(C88:C95)</f>
        <v>5779</v>
      </c>
      <c r="D96" s="75">
        <f t="shared" si="63"/>
        <v>5359</v>
      </c>
      <c r="E96" s="75">
        <f t="shared" si="63"/>
        <v>5008</v>
      </c>
      <c r="F96" s="75">
        <f t="shared" si="63"/>
        <v>6946</v>
      </c>
      <c r="G96" s="121">
        <f t="shared" si="63"/>
        <v>6946</v>
      </c>
      <c r="H96" s="75">
        <f t="shared" si="63"/>
        <v>5818</v>
      </c>
      <c r="I96" s="75">
        <f t="shared" si="63"/>
        <v>6561</v>
      </c>
      <c r="J96" s="75">
        <f t="shared" si="63"/>
        <v>5787</v>
      </c>
      <c r="K96" s="75">
        <f t="shared" si="63"/>
        <v>9178</v>
      </c>
      <c r="L96" s="121">
        <f t="shared" si="63"/>
        <v>9177</v>
      </c>
      <c r="M96" s="75">
        <f t="shared" si="63"/>
        <v>6718</v>
      </c>
      <c r="N96" s="75">
        <f t="shared" si="63"/>
        <v>7053</v>
      </c>
      <c r="O96" s="75">
        <f t="shared" si="63"/>
        <v>6744</v>
      </c>
      <c r="P96" s="75">
        <f t="shared" ref="P96:R96" si="64">SUM(P88:P95)</f>
        <v>7752</v>
      </c>
      <c r="Q96" s="121">
        <f t="shared" si="64"/>
        <v>7742</v>
      </c>
      <c r="R96" s="75">
        <f t="shared" si="64"/>
        <v>6921</v>
      </c>
      <c r="S96" s="75">
        <f t="shared" ref="S96:T96" si="65">SUM(S88:S95)</f>
        <v>4944</v>
      </c>
      <c r="T96" s="75">
        <f t="shared" si="65"/>
        <v>6021</v>
      </c>
      <c r="U96" s="75">
        <f t="shared" si="47"/>
        <v>-11624</v>
      </c>
      <c r="V96" s="121">
        <f t="shared" ref="V96:X96" si="66">SUM(V88:V95)</f>
        <v>6262</v>
      </c>
      <c r="W96" s="75">
        <f t="shared" si="66"/>
        <v>6779</v>
      </c>
      <c r="X96" s="75">
        <f t="shared" si="66"/>
        <v>9111.9187913207825</v>
      </c>
      <c r="Y96" s="75">
        <f t="shared" ref="Y96:AA96" si="67">SUM(Y88:Y95)</f>
        <v>10303.918791320782</v>
      </c>
      <c r="Z96" s="75">
        <f t="shared" si="67"/>
        <v>10160.616168288783</v>
      </c>
      <c r="AA96" s="121">
        <f t="shared" si="67"/>
        <v>9782.6161682887832</v>
      </c>
      <c r="AB96" s="75">
        <f t="shared" ref="AB96:AF96" si="68">SUM(AB88:AB95)</f>
        <v>11686</v>
      </c>
      <c r="AC96" s="75">
        <f t="shared" ref="AC96" si="69">SUM(AC88:AC95)</f>
        <v>10712</v>
      </c>
      <c r="AD96" s="75">
        <f t="shared" si="68"/>
        <v>12905</v>
      </c>
      <c r="AE96" s="75">
        <f t="shared" si="68"/>
        <v>13681</v>
      </c>
      <c r="AF96" s="121">
        <f t="shared" si="68"/>
        <v>13681</v>
      </c>
    </row>
    <row r="97" spans="1:32" ht="14.95" thickTop="1" x14ac:dyDescent="0.25">
      <c r="C97" s="122"/>
      <c r="D97" s="122"/>
      <c r="E97" s="122"/>
      <c r="F97" s="122"/>
      <c r="G97" s="123"/>
      <c r="H97" s="122"/>
      <c r="I97" s="122"/>
      <c r="J97" s="122"/>
      <c r="K97" s="122"/>
      <c r="L97" s="124"/>
      <c r="M97" s="122"/>
      <c r="N97" s="122"/>
      <c r="O97" s="67"/>
      <c r="P97" s="122"/>
      <c r="Q97" s="67"/>
      <c r="S97" s="122"/>
      <c r="T97" s="122"/>
      <c r="V97" s="67"/>
    </row>
    <row r="98" spans="1:32" x14ac:dyDescent="0.25">
      <c r="A98" s="125"/>
      <c r="B98" s="112"/>
      <c r="C98" s="114"/>
      <c r="D98" s="114"/>
      <c r="E98" s="114"/>
      <c r="F98" s="114"/>
      <c r="G98" s="114"/>
      <c r="H98" s="114"/>
      <c r="I98" s="114"/>
      <c r="J98" s="114"/>
      <c r="K98" s="114"/>
      <c r="L98" s="114"/>
      <c r="M98" s="114"/>
      <c r="N98" s="126"/>
      <c r="O98" s="114"/>
      <c r="P98" s="114"/>
      <c r="Q98" s="67"/>
      <c r="S98" s="114"/>
      <c r="T98" s="114"/>
      <c r="V98" s="67"/>
      <c r="AA98" s="67"/>
      <c r="AF98" s="67"/>
    </row>
    <row r="99" spans="1:32" x14ac:dyDescent="0.25"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67"/>
      <c r="S99" s="114"/>
      <c r="T99" s="114"/>
      <c r="V99" s="67"/>
      <c r="AA99" s="67"/>
      <c r="AF99" s="67"/>
    </row>
    <row r="100" spans="1:32" x14ac:dyDescent="0.25"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V100" s="67"/>
      <c r="AA100" s="67"/>
      <c r="AF100" s="67"/>
    </row>
    <row r="101" spans="1:32" x14ac:dyDescent="0.25"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V101" s="67"/>
      <c r="AA101" s="67"/>
      <c r="AF101" s="67"/>
    </row>
    <row r="102" spans="1:32" x14ac:dyDescent="0.25"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V102" s="67"/>
      <c r="AA102" s="67"/>
      <c r="AF102" s="67"/>
    </row>
    <row r="103" spans="1:32" x14ac:dyDescent="0.25"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V103" s="67"/>
      <c r="AA103" s="67"/>
      <c r="AF103" s="67"/>
    </row>
    <row r="104" spans="1:32" x14ac:dyDescent="0.25"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V104" s="67"/>
      <c r="AA104" s="67"/>
      <c r="AF104" s="67"/>
    </row>
    <row r="105" spans="1:32" x14ac:dyDescent="0.25"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</row>
  </sheetData>
  <mergeCells count="6">
    <mergeCell ref="AB4:AF5"/>
    <mergeCell ref="C4:G5"/>
    <mergeCell ref="H4:L5"/>
    <mergeCell ref="M4:Q5"/>
    <mergeCell ref="R4:V5"/>
    <mergeCell ref="W4:AA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C4 H4 M4 V95:V96 B56:Q66 C36:Q36 B37:Q37 V17:V37 B27:Q35 C26:Q26 B23:Q25 B17:Q20 V6 B40 F40 K40 P40 S7:V8 S95:T96 S17:T37 S6:T6 B95:Q96 C72:Q72 C21:Q22 S41:T47 B41:Q47 V41:V47 S49:T54 B49:Q54 V49:V54 B85:Q93 S85:T93 V85:V93 B68:Q71 C67:Q67 V75:V83 S75:T83 B75:Q82 B83:G83 M83:Q83 S9:T15 B6:Q13 V9:V15 C14:Q15 S56:T72 V56:V72" numberStoredAsText="1"/>
    <ignoredError sqref="AF10 AF12:AF13 AF40:AF41 AF57:AF58 AF61:AF63 AF76:AF78 AF86:AF87 AF89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AF48"/>
  <sheetViews>
    <sheetView showGridLines="0" zoomScale="85" zoomScaleNormal="85" workbookViewId="0">
      <pane xSplit="2" ySplit="6" topLeftCell="C7" activePane="bottomRight" state="frozen"/>
      <selection activeCell="E24" sqref="E24"/>
      <selection pane="topRight" activeCell="E24" sqref="E24"/>
      <selection pane="bottomLeft" activeCell="E24" sqref="E24"/>
      <selection pane="bottomRight"/>
    </sheetView>
  </sheetViews>
  <sheetFormatPr defaultRowHeight="14.3" x14ac:dyDescent="0.25"/>
  <cols>
    <col min="1" max="1" width="3.375" customWidth="1"/>
    <col min="2" max="2" width="83.375" bestFit="1" customWidth="1"/>
    <col min="3" max="16" width="18" customWidth="1"/>
    <col min="17" max="17" width="18" style="64" customWidth="1"/>
    <col min="18" max="21" width="18" customWidth="1"/>
    <col min="22" max="22" width="18" style="64" customWidth="1"/>
    <col min="23" max="26" width="18" customWidth="1"/>
    <col min="27" max="27" width="18" style="64" customWidth="1"/>
    <col min="28" max="29" width="18" customWidth="1"/>
    <col min="30" max="30" width="17" customWidth="1"/>
    <col min="31" max="31" width="18" customWidth="1"/>
    <col min="32" max="32" width="18" style="64" customWidth="1"/>
  </cols>
  <sheetData>
    <row r="4" spans="2:32" ht="14.95" customHeight="1" x14ac:dyDescent="0.25">
      <c r="B4" s="3"/>
      <c r="C4" s="149" t="s">
        <v>0</v>
      </c>
      <c r="D4" s="149"/>
      <c r="E4" s="149"/>
      <c r="F4" s="149"/>
      <c r="G4" s="149"/>
      <c r="H4" s="150" t="s">
        <v>1</v>
      </c>
      <c r="I4" s="150"/>
      <c r="J4" s="150"/>
      <c r="K4" s="150"/>
      <c r="L4" s="150"/>
      <c r="M4" s="150" t="s">
        <v>2</v>
      </c>
      <c r="N4" s="150"/>
      <c r="O4" s="150"/>
      <c r="P4" s="150"/>
      <c r="Q4" s="150"/>
      <c r="R4" s="148">
        <v>2019</v>
      </c>
      <c r="S4" s="148"/>
      <c r="T4" s="148"/>
      <c r="U4" s="148"/>
      <c r="V4" s="148"/>
      <c r="W4" s="148">
        <v>2020</v>
      </c>
      <c r="X4" s="148"/>
      <c r="Y4" s="148"/>
      <c r="Z4" s="148"/>
      <c r="AA4" s="148"/>
      <c r="AB4" s="148">
        <v>2021</v>
      </c>
      <c r="AC4" s="148"/>
      <c r="AD4" s="148"/>
      <c r="AE4" s="148"/>
      <c r="AF4" s="148"/>
    </row>
    <row r="5" spans="2:32" ht="15.65" x14ac:dyDescent="0.25">
      <c r="B5" s="4" t="s">
        <v>168</v>
      </c>
      <c r="C5" s="149"/>
      <c r="D5" s="149"/>
      <c r="E5" s="149"/>
      <c r="F5" s="149"/>
      <c r="G5" s="149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</row>
    <row r="6" spans="2:32" ht="15.65" x14ac:dyDescent="0.25">
      <c r="B6" s="4" t="s">
        <v>132</v>
      </c>
      <c r="C6" s="6" t="s">
        <v>134</v>
      </c>
      <c r="D6" s="6" t="s">
        <v>135</v>
      </c>
      <c r="E6" s="42" t="s">
        <v>136</v>
      </c>
      <c r="F6" s="42" t="s">
        <v>137</v>
      </c>
      <c r="G6" s="43" t="s">
        <v>0</v>
      </c>
      <c r="H6" s="42" t="s">
        <v>138</v>
      </c>
      <c r="I6" s="42" t="s">
        <v>139</v>
      </c>
      <c r="J6" s="42" t="s">
        <v>140</v>
      </c>
      <c r="K6" s="42" t="s">
        <v>141</v>
      </c>
      <c r="L6" s="42" t="s">
        <v>1</v>
      </c>
      <c r="M6" s="42" t="s">
        <v>142</v>
      </c>
      <c r="N6" s="42" t="s">
        <v>143</v>
      </c>
      <c r="O6" s="42" t="s">
        <v>144</v>
      </c>
      <c r="P6" s="42" t="s">
        <v>145</v>
      </c>
      <c r="Q6" s="6" t="s">
        <v>2</v>
      </c>
      <c r="R6" s="6" t="s">
        <v>171</v>
      </c>
      <c r="S6" s="6" t="s">
        <v>172</v>
      </c>
      <c r="T6" s="6" t="s">
        <v>180</v>
      </c>
      <c r="U6" s="6" t="s">
        <v>182</v>
      </c>
      <c r="V6" s="91" t="s">
        <v>181</v>
      </c>
      <c r="W6" s="6" t="s">
        <v>183</v>
      </c>
      <c r="X6" s="6" t="s">
        <v>193</v>
      </c>
      <c r="Y6" s="6" t="s">
        <v>194</v>
      </c>
      <c r="Z6" s="6" t="s">
        <v>197</v>
      </c>
      <c r="AA6" s="91" t="s">
        <v>196</v>
      </c>
      <c r="AB6" s="6" t="s">
        <v>201</v>
      </c>
      <c r="AC6" s="6" t="s">
        <v>204</v>
      </c>
      <c r="AD6" s="6" t="s">
        <v>207</v>
      </c>
      <c r="AE6" s="6" t="s">
        <v>225</v>
      </c>
      <c r="AF6" s="145" t="s">
        <v>203</v>
      </c>
    </row>
    <row r="7" spans="2:32" x14ac:dyDescent="0.25">
      <c r="B7" s="12" t="s">
        <v>162</v>
      </c>
      <c r="G7" s="44"/>
      <c r="L7" s="44"/>
      <c r="Q7" s="128"/>
      <c r="U7" s="102"/>
      <c r="V7" s="128"/>
      <c r="W7" s="102"/>
      <c r="X7" s="102"/>
      <c r="Y7" s="102"/>
      <c r="Z7" s="102"/>
      <c r="AA7" s="128"/>
      <c r="AB7" s="102"/>
      <c r="AC7" s="102"/>
      <c r="AD7" s="102"/>
      <c r="AE7" s="102"/>
      <c r="AF7" s="128"/>
    </row>
    <row r="8" spans="2:32" s="16" customFormat="1" x14ac:dyDescent="0.25">
      <c r="B8" s="1" t="s">
        <v>72</v>
      </c>
      <c r="C8" s="27">
        <v>458</v>
      </c>
      <c r="D8" s="27">
        <v>176</v>
      </c>
      <c r="E8" s="27">
        <v>414</v>
      </c>
      <c r="F8" s="31">
        <v>-1251</v>
      </c>
      <c r="G8" s="60">
        <v>-1251</v>
      </c>
      <c r="H8" s="31">
        <v>-1939</v>
      </c>
      <c r="I8" s="31">
        <v>-1704</v>
      </c>
      <c r="J8" s="31">
        <v>-1333</v>
      </c>
      <c r="K8" s="27">
        <v>810</v>
      </c>
      <c r="L8" s="61">
        <v>810</v>
      </c>
      <c r="M8" s="27">
        <v>1506</v>
      </c>
      <c r="N8" s="27">
        <v>1098</v>
      </c>
      <c r="O8" s="27">
        <v>691</v>
      </c>
      <c r="P8" s="27">
        <v>1953</v>
      </c>
      <c r="Q8" s="107">
        <v>2309</v>
      </c>
      <c r="R8" s="27">
        <v>6194</v>
      </c>
      <c r="S8" s="27">
        <v>6273</v>
      </c>
      <c r="T8" s="76">
        <v>5703</v>
      </c>
      <c r="U8" s="76">
        <v>4925</v>
      </c>
      <c r="V8" s="107">
        <v>4925</v>
      </c>
      <c r="W8" s="76">
        <v>-2910</v>
      </c>
      <c r="X8" s="76">
        <v>-3781</v>
      </c>
      <c r="Y8" s="76">
        <v>-3245</v>
      </c>
      <c r="Z8" s="76">
        <v>-3066</v>
      </c>
      <c r="AA8" s="107">
        <v>-3066</v>
      </c>
      <c r="AB8" s="76">
        <v>1504</v>
      </c>
      <c r="AC8" s="76">
        <v>4281</v>
      </c>
      <c r="AD8" s="76">
        <v>5274</v>
      </c>
      <c r="AE8" s="76">
        <f>AF8</f>
        <v>7120</v>
      </c>
      <c r="AF8" s="107">
        <v>7120</v>
      </c>
    </row>
    <row r="9" spans="2:32" s="35" customFormat="1" x14ac:dyDescent="0.25">
      <c r="B9" s="39" t="s">
        <v>153</v>
      </c>
      <c r="C9" s="31"/>
      <c r="D9" s="31"/>
      <c r="E9" s="31"/>
      <c r="F9" s="31"/>
      <c r="G9" s="60"/>
      <c r="H9" s="31"/>
      <c r="I9" s="31"/>
      <c r="J9" s="31"/>
      <c r="K9" s="31"/>
      <c r="L9" s="60"/>
      <c r="M9" s="31"/>
      <c r="N9" s="31"/>
      <c r="O9" s="31"/>
      <c r="P9" s="31"/>
      <c r="Q9" s="106"/>
      <c r="R9" s="31"/>
      <c r="S9" s="31"/>
      <c r="T9" s="69"/>
      <c r="U9" s="69"/>
      <c r="V9" s="106"/>
      <c r="W9" s="69"/>
      <c r="X9" s="69"/>
      <c r="Y9" s="69"/>
      <c r="Z9" s="69"/>
      <c r="AA9" s="106"/>
      <c r="AB9" s="69"/>
      <c r="AC9" s="76"/>
      <c r="AD9" s="76"/>
      <c r="AE9" s="69"/>
      <c r="AF9" s="106"/>
    </row>
    <row r="10" spans="2:32" x14ac:dyDescent="0.25">
      <c r="B10" s="12" t="s">
        <v>146</v>
      </c>
      <c r="C10" s="13"/>
      <c r="D10" s="13"/>
      <c r="E10" s="13"/>
      <c r="F10" s="13"/>
      <c r="G10" s="47"/>
      <c r="H10" s="13"/>
      <c r="I10" s="13"/>
      <c r="J10" s="13"/>
      <c r="K10" s="13"/>
      <c r="L10" s="47"/>
      <c r="M10" s="13"/>
      <c r="N10" s="13"/>
      <c r="O10" s="13"/>
      <c r="P10" s="13"/>
      <c r="Q10" s="106"/>
      <c r="R10" s="13"/>
      <c r="S10" s="13"/>
      <c r="T10" s="69"/>
      <c r="U10" s="69"/>
      <c r="V10" s="106"/>
      <c r="W10" s="69"/>
      <c r="X10" s="69"/>
      <c r="Y10" s="69"/>
      <c r="Z10" s="69"/>
      <c r="AA10" s="106"/>
      <c r="AB10" s="69"/>
      <c r="AC10" s="76"/>
      <c r="AD10" s="76"/>
      <c r="AE10" s="69"/>
      <c r="AF10" s="106"/>
    </row>
    <row r="11" spans="2:32" x14ac:dyDescent="0.25">
      <c r="B11" s="2" t="s">
        <v>147</v>
      </c>
      <c r="C11" s="20">
        <f>-807+9</f>
        <v>-798</v>
      </c>
      <c r="D11" s="20">
        <f>-843+14</f>
        <v>-829</v>
      </c>
      <c r="E11" s="20">
        <f>-938+5</f>
        <v>-933</v>
      </c>
      <c r="F11" s="20">
        <v>-774</v>
      </c>
      <c r="G11" s="48">
        <v>-774</v>
      </c>
      <c r="H11" s="20">
        <f>-590+3+4</f>
        <v>-583</v>
      </c>
      <c r="I11" s="20">
        <f>-654+12-1</f>
        <v>-643</v>
      </c>
      <c r="J11" s="20">
        <v>-1105</v>
      </c>
      <c r="K11" s="20">
        <v>-1197</v>
      </c>
      <c r="L11" s="48">
        <v>-1197</v>
      </c>
      <c r="M11" s="20">
        <v>-1447</v>
      </c>
      <c r="N11" s="20">
        <v>-1212</v>
      </c>
      <c r="O11" s="20">
        <v>-839</v>
      </c>
      <c r="P11" s="20">
        <v>-1634</v>
      </c>
      <c r="Q11" s="111">
        <v>-1938</v>
      </c>
      <c r="R11" s="20">
        <v>-1334</v>
      </c>
      <c r="S11" s="20">
        <v>-1541</v>
      </c>
      <c r="T11" s="70">
        <v>-1524</v>
      </c>
      <c r="U11" s="70">
        <v>-1022</v>
      </c>
      <c r="V11" s="111">
        <v>-1022</v>
      </c>
      <c r="W11" s="70">
        <v>-799</v>
      </c>
      <c r="X11" s="70">
        <v>-397</v>
      </c>
      <c r="Y11" s="70">
        <v>-593</v>
      </c>
      <c r="Z11" s="70">
        <v>-715</v>
      </c>
      <c r="AA11" s="111">
        <v>-715</v>
      </c>
      <c r="AB11" s="70">
        <v>-945</v>
      </c>
      <c r="AC11" s="67">
        <v>-1394</v>
      </c>
      <c r="AD11" s="67">
        <v>-1026</v>
      </c>
      <c r="AE11" s="67">
        <f t="shared" ref="AE11:AE14" si="0">AF11</f>
        <v>-460</v>
      </c>
      <c r="AF11" s="110">
        <v>-460</v>
      </c>
    </row>
    <row r="12" spans="2:32" x14ac:dyDescent="0.25">
      <c r="B12" s="2" t="s">
        <v>176</v>
      </c>
      <c r="C12" s="7">
        <f>2108-29</f>
        <v>2079</v>
      </c>
      <c r="D12" s="7">
        <f>2151-53</f>
        <v>2098</v>
      </c>
      <c r="E12" s="7">
        <f>1814-22-63</f>
        <v>1729</v>
      </c>
      <c r="F12" s="7">
        <v>1745</v>
      </c>
      <c r="G12" s="45">
        <v>1745</v>
      </c>
      <c r="H12" s="7">
        <f>1786-10+15</f>
        <v>1791</v>
      </c>
      <c r="I12" s="7">
        <f>1444-50+39</f>
        <v>1433</v>
      </c>
      <c r="J12" s="7">
        <f>1583-64</f>
        <v>1519</v>
      </c>
      <c r="K12" s="7">
        <v>2506</v>
      </c>
      <c r="L12" s="45">
        <v>2506</v>
      </c>
      <c r="M12" s="7">
        <f>2411</f>
        <v>2411</v>
      </c>
      <c r="N12" s="7">
        <v>3114</v>
      </c>
      <c r="O12" s="7">
        <v>3243</v>
      </c>
      <c r="P12" s="7">
        <v>2048</v>
      </c>
      <c r="Q12" s="110">
        <v>2048</v>
      </c>
      <c r="R12" s="7">
        <v>2113</v>
      </c>
      <c r="S12" s="7">
        <v>1686</v>
      </c>
      <c r="T12" s="67">
        <v>1514</v>
      </c>
      <c r="U12" s="67">
        <v>1624</v>
      </c>
      <c r="V12" s="110">
        <v>1624</v>
      </c>
      <c r="W12" s="67">
        <v>2706</v>
      </c>
      <c r="X12" s="67">
        <v>2803</v>
      </c>
      <c r="Y12" s="67">
        <v>3355</v>
      </c>
      <c r="Z12" s="67">
        <v>3536</v>
      </c>
      <c r="AA12" s="110">
        <v>3536</v>
      </c>
      <c r="AB12" s="67">
        <v>2532</v>
      </c>
      <c r="AC12" s="67">
        <v>1863</v>
      </c>
      <c r="AD12" s="67">
        <v>1599</v>
      </c>
      <c r="AE12" s="67">
        <f t="shared" si="0"/>
        <v>-1803</v>
      </c>
      <c r="AF12" s="110">
        <v>-1803</v>
      </c>
    </row>
    <row r="13" spans="2:32" x14ac:dyDescent="0.25">
      <c r="B13" s="2" t="s">
        <v>148</v>
      </c>
      <c r="C13" s="7">
        <f>960-5</f>
        <v>955</v>
      </c>
      <c r="D13" s="7">
        <f>781-10</f>
        <v>771</v>
      </c>
      <c r="E13" s="7">
        <f>785-17</f>
        <v>768</v>
      </c>
      <c r="F13" s="20">
        <v>-397</v>
      </c>
      <c r="G13" s="48">
        <v>-397</v>
      </c>
      <c r="H13" s="20">
        <f>-483+45+3</f>
        <v>-435</v>
      </c>
      <c r="I13" s="20">
        <f>-343+66+8</f>
        <v>-269</v>
      </c>
      <c r="J13" s="20">
        <f>-489+84</f>
        <v>-405</v>
      </c>
      <c r="K13" s="7">
        <v>133</v>
      </c>
      <c r="L13" s="45">
        <v>133</v>
      </c>
      <c r="M13" s="7">
        <v>297</v>
      </c>
      <c r="N13" s="7">
        <v>229</v>
      </c>
      <c r="O13" s="7">
        <v>397</v>
      </c>
      <c r="P13" s="7">
        <v>1065</v>
      </c>
      <c r="Q13" s="110">
        <v>1013</v>
      </c>
      <c r="R13" s="7">
        <v>3183</v>
      </c>
      <c r="S13" s="7">
        <v>3189</v>
      </c>
      <c r="T13" s="67">
        <v>2911</v>
      </c>
      <c r="U13" s="67">
        <v>2168</v>
      </c>
      <c r="V13" s="110">
        <v>2168</v>
      </c>
      <c r="W13" s="67">
        <v>-572</v>
      </c>
      <c r="X13" s="67">
        <v>-630</v>
      </c>
      <c r="Y13" s="67">
        <v>105</v>
      </c>
      <c r="Z13" s="67">
        <v>1599</v>
      </c>
      <c r="AA13" s="110">
        <v>1599</v>
      </c>
      <c r="AB13" s="67">
        <v>2549</v>
      </c>
      <c r="AC13" s="67">
        <v>3379</v>
      </c>
      <c r="AD13" s="67">
        <v>3313</v>
      </c>
      <c r="AE13" s="67">
        <f t="shared" si="0"/>
        <v>3326</v>
      </c>
      <c r="AF13" s="110">
        <v>3326</v>
      </c>
    </row>
    <row r="14" spans="2:32" x14ac:dyDescent="0.25">
      <c r="B14" s="2" t="s">
        <v>149</v>
      </c>
      <c r="C14" s="7">
        <f>2846-29</f>
        <v>2817</v>
      </c>
      <c r="D14" s="7">
        <f>2856-58</f>
        <v>2798</v>
      </c>
      <c r="E14" s="7">
        <f>2837-142</f>
        <v>2695</v>
      </c>
      <c r="F14" s="7">
        <v>2603</v>
      </c>
      <c r="G14" s="45">
        <v>2603</v>
      </c>
      <c r="H14" s="7">
        <f>2582-14-32</f>
        <v>2536</v>
      </c>
      <c r="I14" s="7">
        <f>2513-18-3</f>
        <v>2492</v>
      </c>
      <c r="J14" s="7">
        <f>2440-7</f>
        <v>2433</v>
      </c>
      <c r="K14" s="7">
        <v>2360</v>
      </c>
      <c r="L14" s="45">
        <v>2360</v>
      </c>
      <c r="M14" s="7">
        <v>2336</v>
      </c>
      <c r="N14" s="7">
        <v>2388</v>
      </c>
      <c r="O14" s="7">
        <v>2535</v>
      </c>
      <c r="P14" s="7">
        <v>2455</v>
      </c>
      <c r="Q14" s="110">
        <v>2455</v>
      </c>
      <c r="R14" s="7">
        <v>2589</v>
      </c>
      <c r="S14" s="7">
        <v>2729</v>
      </c>
      <c r="T14" s="67">
        <v>2888</v>
      </c>
      <c r="U14" s="67">
        <v>3067</v>
      </c>
      <c r="V14" s="110">
        <v>3067</v>
      </c>
      <c r="W14" s="67">
        <v>3094</v>
      </c>
      <c r="X14" s="67">
        <v>3125</v>
      </c>
      <c r="Y14" s="67">
        <v>3194</v>
      </c>
      <c r="Z14" s="67">
        <v>3293</v>
      </c>
      <c r="AA14" s="110">
        <v>3293</v>
      </c>
      <c r="AB14" s="67">
        <v>3398</v>
      </c>
      <c r="AC14" s="67">
        <v>3511</v>
      </c>
      <c r="AD14" s="67">
        <v>3589</v>
      </c>
      <c r="AE14" s="67">
        <f t="shared" si="0"/>
        <v>3637</v>
      </c>
      <c r="AF14" s="110">
        <v>3637</v>
      </c>
    </row>
    <row r="15" spans="2:32" x14ac:dyDescent="0.25">
      <c r="B15" s="12" t="s">
        <v>150</v>
      </c>
      <c r="C15" s="13"/>
      <c r="D15" s="13"/>
      <c r="E15" s="13"/>
      <c r="F15" s="13"/>
      <c r="G15" s="47"/>
      <c r="H15" s="13"/>
      <c r="I15" s="13"/>
      <c r="J15" s="13"/>
      <c r="K15" s="13"/>
      <c r="L15" s="47"/>
      <c r="M15" s="13"/>
      <c r="N15" s="13"/>
      <c r="O15" s="13"/>
      <c r="P15" s="13"/>
      <c r="Q15" s="106"/>
      <c r="R15" s="13"/>
      <c r="S15" s="13"/>
      <c r="T15" s="69"/>
      <c r="U15" s="69"/>
      <c r="V15" s="106"/>
      <c r="W15" s="69"/>
      <c r="X15" s="69"/>
      <c r="Y15" s="69"/>
      <c r="Z15" s="69"/>
      <c r="AA15" s="106"/>
      <c r="AB15" s="69"/>
      <c r="AC15" s="76"/>
      <c r="AD15" s="76"/>
      <c r="AE15" s="69"/>
      <c r="AF15" s="106"/>
    </row>
    <row r="16" spans="2:32" x14ac:dyDescent="0.25">
      <c r="B16" s="2" t="s">
        <v>147</v>
      </c>
      <c r="C16" s="20">
        <f>0-9</f>
        <v>-9</v>
      </c>
      <c r="D16" s="20">
        <f>0-14</f>
        <v>-14</v>
      </c>
      <c r="E16" s="20">
        <f>0-5</f>
        <v>-5</v>
      </c>
      <c r="F16" s="20">
        <v>-31</v>
      </c>
      <c r="G16" s="48">
        <v>-31</v>
      </c>
      <c r="H16" s="20">
        <f>-9-3-4</f>
        <v>-16</v>
      </c>
      <c r="I16" s="20">
        <f>-4-12+1</f>
        <v>-15</v>
      </c>
      <c r="J16" s="7">
        <v>12</v>
      </c>
      <c r="K16" s="20">
        <v>-151</v>
      </c>
      <c r="L16" s="48">
        <v>-151</v>
      </c>
      <c r="M16" s="20">
        <v>-149</v>
      </c>
      <c r="N16" s="20">
        <v>-141</v>
      </c>
      <c r="O16" s="20">
        <v>-151</v>
      </c>
      <c r="P16" s="7">
        <v>0</v>
      </c>
      <c r="Q16" s="110">
        <v>0</v>
      </c>
      <c r="R16" s="7">
        <v>0</v>
      </c>
      <c r="S16" s="7">
        <v>0</v>
      </c>
      <c r="T16" s="67">
        <v>0</v>
      </c>
      <c r="U16" s="67">
        <v>0</v>
      </c>
      <c r="V16" s="110">
        <v>0</v>
      </c>
      <c r="W16" s="67">
        <v>0</v>
      </c>
      <c r="X16" s="67">
        <v>0</v>
      </c>
      <c r="Y16" s="67">
        <v>0</v>
      </c>
      <c r="Z16" s="67">
        <v>0</v>
      </c>
      <c r="AA16" s="110">
        <v>0</v>
      </c>
      <c r="AB16" s="67">
        <v>0</v>
      </c>
      <c r="AC16" s="67">
        <v>0</v>
      </c>
      <c r="AD16" s="67">
        <v>0</v>
      </c>
      <c r="AE16" s="67">
        <v>0</v>
      </c>
      <c r="AF16" s="110">
        <v>0</v>
      </c>
    </row>
    <row r="17" spans="2:32" x14ac:dyDescent="0.25">
      <c r="B17" s="2" t="s">
        <v>176</v>
      </c>
      <c r="C17" s="7">
        <f>9+29</f>
        <v>38</v>
      </c>
      <c r="D17" s="7">
        <f>9+53</f>
        <v>62</v>
      </c>
      <c r="E17" s="7">
        <f>9+22+63</f>
        <v>94</v>
      </c>
      <c r="F17" s="7">
        <v>140</v>
      </c>
      <c r="G17" s="45">
        <v>140</v>
      </c>
      <c r="H17" s="7">
        <f>55+10+27</f>
        <v>92</v>
      </c>
      <c r="I17" s="7">
        <f>-17+50+3</f>
        <v>36</v>
      </c>
      <c r="J17" s="7">
        <f>-12+64</f>
        <v>52</v>
      </c>
      <c r="K17" s="7">
        <v>96</v>
      </c>
      <c r="L17" s="45">
        <v>96</v>
      </c>
      <c r="M17" s="7">
        <v>98</v>
      </c>
      <c r="N17" s="7">
        <v>9</v>
      </c>
      <c r="O17" s="7">
        <v>32</v>
      </c>
      <c r="P17" s="7">
        <v>6</v>
      </c>
      <c r="Q17" s="110">
        <v>6</v>
      </c>
      <c r="R17" s="7">
        <v>5</v>
      </c>
      <c r="S17" s="7">
        <v>45</v>
      </c>
      <c r="T17" s="67">
        <v>42</v>
      </c>
      <c r="U17" s="67">
        <v>38</v>
      </c>
      <c r="V17" s="110">
        <v>38</v>
      </c>
      <c r="W17" s="67">
        <v>38</v>
      </c>
      <c r="X17" s="67">
        <v>0</v>
      </c>
      <c r="Y17" s="67">
        <v>0</v>
      </c>
      <c r="Z17" s="67">
        <v>0</v>
      </c>
      <c r="AA17" s="110">
        <v>0</v>
      </c>
      <c r="AB17" s="67">
        <v>0</v>
      </c>
      <c r="AC17" s="67">
        <v>0</v>
      </c>
      <c r="AD17" s="67">
        <v>0</v>
      </c>
      <c r="AE17" s="67">
        <v>0</v>
      </c>
      <c r="AF17" s="110">
        <v>0</v>
      </c>
    </row>
    <row r="18" spans="2:32" x14ac:dyDescent="0.25">
      <c r="B18" s="2" t="s">
        <v>177</v>
      </c>
      <c r="C18" s="7">
        <f>-2+5</f>
        <v>3</v>
      </c>
      <c r="D18" s="7">
        <f>-2+10</f>
        <v>8</v>
      </c>
      <c r="E18" s="7">
        <f>-2+17</f>
        <v>15</v>
      </c>
      <c r="F18" s="7">
        <v>2</v>
      </c>
      <c r="G18" s="45">
        <v>2</v>
      </c>
      <c r="H18" s="20">
        <f>-2-45-6</f>
        <v>-53</v>
      </c>
      <c r="I18" s="20">
        <f>5-66-11</f>
        <v>-72</v>
      </c>
      <c r="J18" s="20">
        <f>-5-84</f>
        <v>-89</v>
      </c>
      <c r="K18" s="7">
        <v>126</v>
      </c>
      <c r="L18" s="45">
        <v>126</v>
      </c>
      <c r="M18" s="7">
        <v>123</v>
      </c>
      <c r="N18" s="7">
        <v>146</v>
      </c>
      <c r="O18" s="7">
        <v>159</v>
      </c>
      <c r="P18" s="20">
        <v>-99</v>
      </c>
      <c r="Q18" s="111">
        <v>-99</v>
      </c>
      <c r="R18" s="20">
        <v>-52</v>
      </c>
      <c r="S18" s="20">
        <v>-53</v>
      </c>
      <c r="T18" s="70">
        <v>-50</v>
      </c>
      <c r="U18" s="70">
        <v>-3</v>
      </c>
      <c r="V18" s="111">
        <v>-3</v>
      </c>
      <c r="W18" s="70">
        <v>-3</v>
      </c>
      <c r="X18" s="70">
        <v>-3</v>
      </c>
      <c r="Y18" s="70">
        <v>0</v>
      </c>
      <c r="Z18" s="70">
        <v>0</v>
      </c>
      <c r="AA18" s="111">
        <v>0</v>
      </c>
      <c r="AB18" s="70">
        <v>0</v>
      </c>
      <c r="AC18" s="67">
        <v>0</v>
      </c>
      <c r="AD18" s="67">
        <v>0</v>
      </c>
      <c r="AE18" s="70">
        <v>0</v>
      </c>
      <c r="AF18" s="111">
        <v>0</v>
      </c>
    </row>
    <row r="19" spans="2:32" x14ac:dyDescent="0.25">
      <c r="B19" s="2" t="s">
        <v>149</v>
      </c>
      <c r="C19" s="7">
        <f>1+29</f>
        <v>30</v>
      </c>
      <c r="D19" s="7">
        <f>1+58</f>
        <v>59</v>
      </c>
      <c r="E19" s="7">
        <f>0+142</f>
        <v>142</v>
      </c>
      <c r="F19" s="7">
        <v>185</v>
      </c>
      <c r="G19" s="45">
        <v>185</v>
      </c>
      <c r="H19" s="7">
        <f>95+14+32</f>
        <v>141</v>
      </c>
      <c r="I19" s="7">
        <f>-3+18+3</f>
        <v>18</v>
      </c>
      <c r="J19" s="20">
        <f>-70+7</f>
        <v>-63</v>
      </c>
      <c r="K19" s="7">
        <v>35</v>
      </c>
      <c r="L19" s="45">
        <v>35</v>
      </c>
      <c r="M19" s="7">
        <v>34</v>
      </c>
      <c r="N19" s="7">
        <v>52</v>
      </c>
      <c r="O19" s="7">
        <v>43</v>
      </c>
      <c r="P19" s="7">
        <v>55</v>
      </c>
      <c r="Q19" s="110">
        <v>55</v>
      </c>
      <c r="R19" s="7">
        <v>42</v>
      </c>
      <c r="S19" s="7">
        <v>26</v>
      </c>
      <c r="T19" s="67">
        <v>-23</v>
      </c>
      <c r="U19" s="67">
        <v>0</v>
      </c>
      <c r="V19" s="110">
        <v>0</v>
      </c>
      <c r="W19" s="67">
        <v>0</v>
      </c>
      <c r="X19" s="67">
        <v>0</v>
      </c>
      <c r="Y19" s="67">
        <v>0</v>
      </c>
      <c r="Z19" s="67">
        <v>0</v>
      </c>
      <c r="AA19" s="110">
        <v>0</v>
      </c>
      <c r="AB19" s="67">
        <v>0</v>
      </c>
      <c r="AC19" s="67">
        <v>0</v>
      </c>
      <c r="AD19" s="67">
        <v>0</v>
      </c>
      <c r="AE19" s="67">
        <v>0</v>
      </c>
      <c r="AF19" s="110">
        <v>0</v>
      </c>
    </row>
    <row r="20" spans="2:32" x14ac:dyDescent="0.25">
      <c r="B20" s="12" t="s">
        <v>163</v>
      </c>
      <c r="C20" s="14">
        <f t="shared" ref="C20:O20" si="1">SUM(C8:C19)</f>
        <v>5573</v>
      </c>
      <c r="D20" s="14">
        <f t="shared" si="1"/>
        <v>5129</v>
      </c>
      <c r="E20" s="14">
        <f t="shared" si="1"/>
        <v>4919</v>
      </c>
      <c r="F20" s="14">
        <f t="shared" si="1"/>
        <v>2222</v>
      </c>
      <c r="G20" s="58">
        <f t="shared" si="1"/>
        <v>2222</v>
      </c>
      <c r="H20" s="14">
        <f t="shared" si="1"/>
        <v>1534</v>
      </c>
      <c r="I20" s="14">
        <f t="shared" si="1"/>
        <v>1276</v>
      </c>
      <c r="J20" s="14">
        <f t="shared" si="1"/>
        <v>1021</v>
      </c>
      <c r="K20" s="14">
        <f t="shared" si="1"/>
        <v>4718</v>
      </c>
      <c r="L20" s="58">
        <f t="shared" si="1"/>
        <v>4718</v>
      </c>
      <c r="M20" s="14">
        <f>SUM(M8:M19)</f>
        <v>5209</v>
      </c>
      <c r="N20" s="14">
        <f>SUM(N8:N19)</f>
        <v>5683</v>
      </c>
      <c r="O20" s="14">
        <f t="shared" si="1"/>
        <v>6110</v>
      </c>
      <c r="P20" s="14">
        <v>5849</v>
      </c>
      <c r="Q20" s="117">
        <f t="shared" ref="Q20" si="2">SUM(Q8:Q19)</f>
        <v>5849</v>
      </c>
      <c r="R20" s="14">
        <f t="shared" ref="R20:S20" si="3">SUM(R8:R19)</f>
        <v>12740</v>
      </c>
      <c r="S20" s="14">
        <f t="shared" si="3"/>
        <v>12354</v>
      </c>
      <c r="T20" s="73">
        <f>SUM(T8:T19)</f>
        <v>11461</v>
      </c>
      <c r="U20" s="73">
        <f t="shared" ref="U20:V20" si="4">SUM(U8:U19)</f>
        <v>10797</v>
      </c>
      <c r="V20" s="117">
        <f t="shared" si="4"/>
        <v>10797</v>
      </c>
      <c r="W20" s="73">
        <f>SUM(W8:W19)</f>
        <v>1554</v>
      </c>
      <c r="X20" s="73">
        <f>SUM(X8:X19)</f>
        <v>1117</v>
      </c>
      <c r="Y20" s="73">
        <f>SUM(Y8:Y19)</f>
        <v>2816</v>
      </c>
      <c r="Z20" s="73">
        <f t="shared" ref="Z20:AA20" si="5">SUM(Z8:Z19)</f>
        <v>4647</v>
      </c>
      <c r="AA20" s="117">
        <f t="shared" si="5"/>
        <v>4647</v>
      </c>
      <c r="AB20" s="73">
        <f t="shared" ref="AB20:AF20" si="6">SUM(AB8:AB19)</f>
        <v>9038</v>
      </c>
      <c r="AC20" s="73">
        <f t="shared" si="6"/>
        <v>11640</v>
      </c>
      <c r="AD20" s="73">
        <f t="shared" si="6"/>
        <v>12749</v>
      </c>
      <c r="AE20" s="73">
        <f t="shared" si="6"/>
        <v>11820</v>
      </c>
      <c r="AF20" s="117">
        <f t="shared" si="6"/>
        <v>11820</v>
      </c>
    </row>
    <row r="21" spans="2:32" x14ac:dyDescent="0.25">
      <c r="B21" s="34" t="s">
        <v>151</v>
      </c>
      <c r="C21" s="11"/>
      <c r="D21" s="11"/>
      <c r="E21" s="11"/>
      <c r="F21" s="11"/>
      <c r="G21" s="52"/>
      <c r="H21" s="11"/>
      <c r="I21" s="11"/>
      <c r="J21" s="11"/>
      <c r="K21" s="11"/>
      <c r="L21" s="52"/>
      <c r="M21" s="11"/>
      <c r="N21" s="11"/>
      <c r="O21" s="11"/>
      <c r="P21" s="11"/>
      <c r="Q21" s="129"/>
      <c r="R21" s="11"/>
      <c r="S21" s="11"/>
      <c r="T21" s="74"/>
      <c r="U21" s="74"/>
      <c r="V21" s="129"/>
      <c r="W21" s="74"/>
      <c r="X21" s="74"/>
      <c r="Y21" s="74"/>
      <c r="Z21" s="74"/>
      <c r="AA21" s="129"/>
      <c r="AB21" s="74"/>
      <c r="AC21" s="74"/>
      <c r="AD21" s="74"/>
      <c r="AE21" s="74"/>
      <c r="AF21" s="129"/>
    </row>
    <row r="22" spans="2:32" x14ac:dyDescent="0.25">
      <c r="B22" s="36" t="s">
        <v>107</v>
      </c>
      <c r="C22" s="9">
        <v>707</v>
      </c>
      <c r="D22" s="9">
        <v>783</v>
      </c>
      <c r="E22" s="9">
        <v>784</v>
      </c>
      <c r="F22" s="9">
        <v>188</v>
      </c>
      <c r="G22" s="54">
        <v>188</v>
      </c>
      <c r="H22" s="9">
        <v>207</v>
      </c>
      <c r="I22" s="9">
        <v>230</v>
      </c>
      <c r="J22" s="9">
        <v>237</v>
      </c>
      <c r="K22" s="9">
        <v>489</v>
      </c>
      <c r="L22" s="54">
        <v>489</v>
      </c>
      <c r="M22" s="9">
        <v>479</v>
      </c>
      <c r="N22" s="9">
        <v>403</v>
      </c>
      <c r="O22" s="9">
        <v>377</v>
      </c>
      <c r="P22" s="9">
        <v>942</v>
      </c>
      <c r="Q22" s="111">
        <v>942</v>
      </c>
      <c r="R22" s="9">
        <v>930</v>
      </c>
      <c r="S22" s="9">
        <v>862</v>
      </c>
      <c r="T22" s="70">
        <v>879</v>
      </c>
      <c r="U22" s="70">
        <v>65</v>
      </c>
      <c r="V22" s="111">
        <v>65</v>
      </c>
      <c r="W22" s="70">
        <v>72</v>
      </c>
      <c r="X22" s="70">
        <v>67</v>
      </c>
      <c r="Y22" s="70">
        <v>75</v>
      </c>
      <c r="Z22" s="70">
        <v>142</v>
      </c>
      <c r="AA22" s="111">
        <v>142</v>
      </c>
      <c r="AB22" s="70">
        <v>194</v>
      </c>
      <c r="AC22" s="67">
        <v>222</v>
      </c>
      <c r="AD22" s="67">
        <v>231</v>
      </c>
      <c r="AE22" s="67">
        <f>AF22</f>
        <v>189</v>
      </c>
      <c r="AF22" s="110">
        <v>189</v>
      </c>
    </row>
    <row r="23" spans="2:32" x14ac:dyDescent="0.25">
      <c r="B23" s="34" t="s">
        <v>154</v>
      </c>
      <c r="C23" s="9"/>
      <c r="D23" s="9"/>
      <c r="E23" s="9"/>
      <c r="F23" s="9"/>
      <c r="G23" s="54"/>
      <c r="H23" s="9"/>
      <c r="I23" s="9"/>
      <c r="J23" s="9"/>
      <c r="K23" s="9"/>
      <c r="L23" s="54"/>
      <c r="M23" s="9"/>
      <c r="N23" s="9"/>
      <c r="O23" s="9"/>
      <c r="P23" s="9"/>
      <c r="Q23" s="111"/>
      <c r="R23" s="9"/>
      <c r="S23" s="9"/>
      <c r="T23" s="70"/>
      <c r="U23" s="70"/>
      <c r="V23" s="111"/>
      <c r="W23" s="70"/>
      <c r="X23" s="70"/>
      <c r="Y23" s="70"/>
      <c r="Z23" s="70"/>
      <c r="AA23" s="111"/>
      <c r="AB23" s="70"/>
      <c r="AC23" s="67"/>
      <c r="AD23" s="67"/>
      <c r="AE23" s="70"/>
      <c r="AF23" s="111"/>
    </row>
    <row r="24" spans="2:32" x14ac:dyDescent="0.25">
      <c r="B24" s="36" t="s">
        <v>152</v>
      </c>
      <c r="C24" s="9">
        <f>3+53-717+688</f>
        <v>27</v>
      </c>
      <c r="D24" s="20">
        <f>-2+47-58</f>
        <v>-13</v>
      </c>
      <c r="E24" s="20">
        <f>-4+78+28-142</f>
        <v>-40</v>
      </c>
      <c r="F24" s="9">
        <v>4</v>
      </c>
      <c r="G24" s="54">
        <v>4</v>
      </c>
      <c r="H24" s="9">
        <f>50-2+130-14-95</f>
        <v>69</v>
      </c>
      <c r="I24" s="9">
        <f>225+279-18-60</f>
        <v>426</v>
      </c>
      <c r="J24" s="9">
        <f>221+178+253-7</f>
        <v>645</v>
      </c>
      <c r="K24" s="9">
        <v>306</v>
      </c>
      <c r="L24" s="54">
        <v>306</v>
      </c>
      <c r="M24" s="9">
        <v>159</v>
      </c>
      <c r="N24" s="20">
        <v>-12</v>
      </c>
      <c r="O24" s="9">
        <v>25</v>
      </c>
      <c r="P24" s="9">
        <v>10</v>
      </c>
      <c r="Q24" s="111">
        <v>10</v>
      </c>
      <c r="R24" s="9">
        <v>38</v>
      </c>
      <c r="S24" s="9">
        <v>66</v>
      </c>
      <c r="T24" s="70">
        <v>116</v>
      </c>
      <c r="U24" s="70">
        <v>2</v>
      </c>
      <c r="V24" s="111">
        <v>2</v>
      </c>
      <c r="W24" s="70">
        <v>3</v>
      </c>
      <c r="X24" s="70">
        <v>20</v>
      </c>
      <c r="Y24" s="70">
        <v>16</v>
      </c>
      <c r="Z24" s="70">
        <v>0</v>
      </c>
      <c r="AA24" s="111">
        <v>0</v>
      </c>
      <c r="AB24" s="70">
        <v>0</v>
      </c>
      <c r="AC24" s="67">
        <v>0</v>
      </c>
      <c r="AD24" s="67">
        <v>0</v>
      </c>
      <c r="AE24" s="67">
        <f t="shared" ref="AE24" si="7">AF24</f>
        <v>-235</v>
      </c>
      <c r="AF24" s="110">
        <v>-235</v>
      </c>
    </row>
    <row r="25" spans="2:32" x14ac:dyDescent="0.25">
      <c r="B25" s="36" t="s">
        <v>155</v>
      </c>
      <c r="C25" s="9">
        <v>0</v>
      </c>
      <c r="D25" s="9">
        <v>0</v>
      </c>
      <c r="E25" s="9">
        <v>0</v>
      </c>
      <c r="F25" s="9">
        <v>0</v>
      </c>
      <c r="G25" s="54">
        <v>0</v>
      </c>
      <c r="H25" s="9">
        <v>0</v>
      </c>
      <c r="I25" s="9">
        <v>0</v>
      </c>
      <c r="J25" s="9">
        <v>0</v>
      </c>
      <c r="K25" s="20">
        <v>-267</v>
      </c>
      <c r="L25" s="48">
        <v>-267</v>
      </c>
      <c r="M25" s="20">
        <v>-110</v>
      </c>
      <c r="N25" s="20">
        <v>-56</v>
      </c>
      <c r="O25" s="20">
        <v>-204</v>
      </c>
      <c r="P25" s="9">
        <v>211</v>
      </c>
      <c r="Q25" s="111">
        <v>211</v>
      </c>
      <c r="R25" s="9">
        <v>54</v>
      </c>
      <c r="S25" s="9"/>
      <c r="T25" s="70"/>
      <c r="U25" s="70">
        <v>0</v>
      </c>
      <c r="V25" s="111">
        <v>0</v>
      </c>
      <c r="W25" s="70">
        <v>0</v>
      </c>
      <c r="X25" s="70">
        <v>0</v>
      </c>
      <c r="Y25" s="70">
        <v>0</v>
      </c>
      <c r="Z25" s="70">
        <v>0</v>
      </c>
      <c r="AA25" s="111">
        <v>0</v>
      </c>
      <c r="AB25" s="70">
        <v>0</v>
      </c>
      <c r="AC25" s="67">
        <v>0</v>
      </c>
      <c r="AD25" s="67">
        <v>0</v>
      </c>
      <c r="AE25" s="70">
        <v>0</v>
      </c>
      <c r="AF25" s="111">
        <v>0</v>
      </c>
    </row>
    <row r="26" spans="2:32" s="37" customFormat="1" x14ac:dyDescent="0.25">
      <c r="B26" s="28" t="s">
        <v>156</v>
      </c>
      <c r="C26" s="20">
        <v>-540</v>
      </c>
      <c r="D26" s="20">
        <v>-550</v>
      </c>
      <c r="E26" s="20">
        <v>-550</v>
      </c>
      <c r="F26" s="20">
        <v>-312</v>
      </c>
      <c r="G26" s="48">
        <v>-312</v>
      </c>
      <c r="H26" s="20">
        <v>-10</v>
      </c>
      <c r="I26" s="9">
        <v>249</v>
      </c>
      <c r="J26" s="9">
        <v>392</v>
      </c>
      <c r="K26" s="20">
        <v>-625</v>
      </c>
      <c r="L26" s="48">
        <v>-625</v>
      </c>
      <c r="M26" s="20">
        <v>-625</v>
      </c>
      <c r="N26" s="20">
        <v>-617</v>
      </c>
      <c r="O26" s="20">
        <v>-617</v>
      </c>
      <c r="P26" s="20">
        <v>-130</v>
      </c>
      <c r="Q26" s="111">
        <v>-130</v>
      </c>
      <c r="R26" s="20">
        <v>-6902</v>
      </c>
      <c r="S26" s="20">
        <v>-6841</v>
      </c>
      <c r="T26" s="70">
        <v>-6841</v>
      </c>
      <c r="U26" s="70">
        <v>-6719</v>
      </c>
      <c r="V26" s="111">
        <v>-6719</v>
      </c>
      <c r="W26" s="70">
        <v>53</v>
      </c>
      <c r="X26" s="70">
        <v>0</v>
      </c>
      <c r="Y26" s="70">
        <v>0</v>
      </c>
      <c r="Z26" s="70">
        <v>-427</v>
      </c>
      <c r="AA26" s="111">
        <v>-427</v>
      </c>
      <c r="AB26" s="70">
        <v>-1056</v>
      </c>
      <c r="AC26" s="67">
        <v>-1056</v>
      </c>
      <c r="AD26" s="67">
        <v>-1056</v>
      </c>
      <c r="AE26" s="67">
        <f t="shared" ref="AE26:AE28" si="8">AF26</f>
        <v>-629</v>
      </c>
      <c r="AF26" s="110">
        <v>-629</v>
      </c>
    </row>
    <row r="27" spans="2:32" s="37" customFormat="1" ht="28.55" x14ac:dyDescent="0.25">
      <c r="B27" s="40" t="s">
        <v>178</v>
      </c>
      <c r="C27" s="9">
        <v>648</v>
      </c>
      <c r="D27" s="9">
        <v>679</v>
      </c>
      <c r="E27" s="9">
        <v>587</v>
      </c>
      <c r="F27" s="9">
        <v>1121</v>
      </c>
      <c r="G27" s="54">
        <v>1121</v>
      </c>
      <c r="H27" s="9">
        <f>1129-130</f>
        <v>999</v>
      </c>
      <c r="I27" s="9">
        <f>1113-309</f>
        <v>804</v>
      </c>
      <c r="J27" s="9">
        <f>1105-71-385</f>
        <v>649</v>
      </c>
      <c r="K27" s="20">
        <v>-10</v>
      </c>
      <c r="L27" s="48">
        <v>-10</v>
      </c>
      <c r="M27" s="20">
        <v>-28</v>
      </c>
      <c r="N27" s="9">
        <v>3</v>
      </c>
      <c r="O27" s="9">
        <v>25</v>
      </c>
      <c r="P27" s="20">
        <v>-24</v>
      </c>
      <c r="Q27" s="111">
        <v>-24</v>
      </c>
      <c r="R27" s="20">
        <v>-22</v>
      </c>
      <c r="S27" s="20">
        <v>-28</v>
      </c>
      <c r="T27" s="70">
        <v>537</v>
      </c>
      <c r="U27" s="70">
        <v>723</v>
      </c>
      <c r="V27" s="111">
        <v>723</v>
      </c>
      <c r="W27" s="70">
        <v>2882</v>
      </c>
      <c r="X27" s="70">
        <v>3166</v>
      </c>
      <c r="Y27" s="70">
        <v>2965</v>
      </c>
      <c r="Z27" s="70">
        <v>2802</v>
      </c>
      <c r="AA27" s="111">
        <v>2802</v>
      </c>
      <c r="AB27" s="70">
        <v>643</v>
      </c>
      <c r="AC27" s="67">
        <v>369</v>
      </c>
      <c r="AD27" s="67">
        <v>187</v>
      </c>
      <c r="AE27" s="67">
        <f t="shared" si="8"/>
        <v>-36</v>
      </c>
      <c r="AF27" s="110">
        <v>-36</v>
      </c>
    </row>
    <row r="28" spans="2:32" s="37" customFormat="1" x14ac:dyDescent="0.25">
      <c r="B28" s="28" t="s">
        <v>157</v>
      </c>
      <c r="C28" s="20">
        <v>-3</v>
      </c>
      <c r="D28" s="9">
        <v>40</v>
      </c>
      <c r="E28" s="9">
        <v>40</v>
      </c>
      <c r="F28" s="9">
        <v>1031</v>
      </c>
      <c r="G28" s="54">
        <v>1031</v>
      </c>
      <c r="H28" s="9">
        <v>1161</v>
      </c>
      <c r="I28" s="9">
        <v>988</v>
      </c>
      <c r="J28" s="9">
        <v>988</v>
      </c>
      <c r="K28" s="20">
        <v>-71</v>
      </c>
      <c r="L28" s="48">
        <v>-71</v>
      </c>
      <c r="M28" s="20">
        <v>-71</v>
      </c>
      <c r="N28" s="20">
        <v>-71</v>
      </c>
      <c r="O28" s="20">
        <v>-71</v>
      </c>
      <c r="P28" s="9">
        <v>0</v>
      </c>
      <c r="Q28" s="111">
        <v>0</v>
      </c>
      <c r="R28" s="9">
        <v>0</v>
      </c>
      <c r="S28" s="9">
        <v>0</v>
      </c>
      <c r="T28" s="70">
        <v>0</v>
      </c>
      <c r="U28" s="70">
        <v>0</v>
      </c>
      <c r="V28" s="111">
        <v>0</v>
      </c>
      <c r="W28" s="70">
        <v>0</v>
      </c>
      <c r="X28" s="70">
        <v>0</v>
      </c>
      <c r="Y28" s="70">
        <v>0</v>
      </c>
      <c r="Z28" s="70">
        <v>0</v>
      </c>
      <c r="AA28" s="111">
        <v>0</v>
      </c>
      <c r="AB28" s="70">
        <v>0</v>
      </c>
      <c r="AC28" s="67">
        <v>0</v>
      </c>
      <c r="AD28" s="67">
        <v>0</v>
      </c>
      <c r="AE28" s="67">
        <f t="shared" si="8"/>
        <v>827</v>
      </c>
      <c r="AF28" s="110">
        <v>827</v>
      </c>
    </row>
    <row r="29" spans="2:32" s="37" customFormat="1" x14ac:dyDescent="0.25">
      <c r="B29" s="28" t="s">
        <v>158</v>
      </c>
      <c r="C29" s="9">
        <v>43</v>
      </c>
      <c r="D29" s="9">
        <v>40</v>
      </c>
      <c r="E29" s="9">
        <v>38</v>
      </c>
      <c r="F29" s="20">
        <v>-2</v>
      </c>
      <c r="G29" s="48">
        <v>-2</v>
      </c>
      <c r="H29" s="9">
        <v>8</v>
      </c>
      <c r="I29" s="9">
        <v>16</v>
      </c>
      <c r="J29" s="9">
        <v>13</v>
      </c>
      <c r="K29" s="9">
        <v>8</v>
      </c>
      <c r="L29" s="54">
        <v>8</v>
      </c>
      <c r="M29" s="9">
        <v>3</v>
      </c>
      <c r="N29" s="9">
        <v>1</v>
      </c>
      <c r="O29" s="9">
        <v>5</v>
      </c>
      <c r="P29" s="9">
        <v>0</v>
      </c>
      <c r="Q29" s="111">
        <v>0</v>
      </c>
      <c r="R29" s="9">
        <v>0</v>
      </c>
      <c r="S29" s="20">
        <v>-6</v>
      </c>
      <c r="T29" s="70">
        <v>-5</v>
      </c>
      <c r="U29" s="70">
        <v>0</v>
      </c>
      <c r="V29" s="111">
        <v>0</v>
      </c>
      <c r="W29" s="70">
        <v>0</v>
      </c>
      <c r="X29" s="70">
        <v>0</v>
      </c>
      <c r="Y29" s="70">
        <v>0</v>
      </c>
      <c r="Z29" s="70">
        <v>0</v>
      </c>
      <c r="AA29" s="111">
        <v>0</v>
      </c>
      <c r="AB29" s="70">
        <v>0</v>
      </c>
      <c r="AC29" s="67">
        <v>0</v>
      </c>
      <c r="AD29" s="67">
        <v>0</v>
      </c>
      <c r="AE29" s="70">
        <v>0</v>
      </c>
      <c r="AF29" s="111">
        <v>0</v>
      </c>
    </row>
    <row r="30" spans="2:32" s="37" customFormat="1" x14ac:dyDescent="0.25">
      <c r="B30" s="28" t="s">
        <v>159</v>
      </c>
      <c r="C30" s="9">
        <v>0</v>
      </c>
      <c r="D30" s="9">
        <v>0</v>
      </c>
      <c r="E30" s="9">
        <v>0</v>
      </c>
      <c r="F30" s="9">
        <v>0</v>
      </c>
      <c r="G30" s="54">
        <v>0</v>
      </c>
      <c r="H30" s="9">
        <v>0</v>
      </c>
      <c r="I30" s="9">
        <v>0</v>
      </c>
      <c r="J30" s="9">
        <v>99</v>
      </c>
      <c r="K30" s="9">
        <v>99</v>
      </c>
      <c r="L30" s="54">
        <v>99</v>
      </c>
      <c r="M30" s="9">
        <v>99</v>
      </c>
      <c r="N30" s="9">
        <v>99</v>
      </c>
      <c r="O30" s="9">
        <v>0</v>
      </c>
      <c r="P30" s="9">
        <v>0</v>
      </c>
      <c r="Q30" s="111">
        <v>0</v>
      </c>
      <c r="R30" s="9">
        <v>0</v>
      </c>
      <c r="S30" s="9">
        <v>0</v>
      </c>
      <c r="T30" s="70">
        <v>0</v>
      </c>
      <c r="U30" s="70">
        <v>0</v>
      </c>
      <c r="V30" s="111">
        <v>0</v>
      </c>
      <c r="W30" s="70">
        <v>0</v>
      </c>
      <c r="X30" s="70">
        <v>0</v>
      </c>
      <c r="Y30" s="70">
        <v>0</v>
      </c>
      <c r="Z30" s="70">
        <v>0</v>
      </c>
      <c r="AA30" s="111">
        <v>0</v>
      </c>
      <c r="AB30" s="70">
        <v>0</v>
      </c>
      <c r="AC30" s="67">
        <v>0</v>
      </c>
      <c r="AD30" s="67">
        <v>0</v>
      </c>
      <c r="AE30" s="70">
        <v>0</v>
      </c>
      <c r="AF30" s="111">
        <v>0</v>
      </c>
    </row>
    <row r="31" spans="2:32" s="37" customFormat="1" x14ac:dyDescent="0.25">
      <c r="B31" s="28" t="s">
        <v>231</v>
      </c>
      <c r="C31" s="9">
        <v>0</v>
      </c>
      <c r="D31" s="9">
        <v>0</v>
      </c>
      <c r="E31" s="9">
        <v>0</v>
      </c>
      <c r="F31" s="9">
        <v>0</v>
      </c>
      <c r="G31" s="54">
        <v>0</v>
      </c>
      <c r="H31" s="9">
        <v>0</v>
      </c>
      <c r="I31" s="9">
        <v>0</v>
      </c>
      <c r="J31" s="9">
        <v>0</v>
      </c>
      <c r="K31" s="9">
        <v>0</v>
      </c>
      <c r="L31" s="54">
        <v>0</v>
      </c>
      <c r="M31" s="9">
        <v>0</v>
      </c>
      <c r="N31" s="20">
        <v>-147</v>
      </c>
      <c r="O31" s="20">
        <v>-147</v>
      </c>
      <c r="P31" s="20">
        <v>-302</v>
      </c>
      <c r="Q31" s="111">
        <v>-302</v>
      </c>
      <c r="R31" s="20">
        <v>-302</v>
      </c>
      <c r="S31" s="20">
        <v>-155</v>
      </c>
      <c r="T31" s="70">
        <v>-155</v>
      </c>
      <c r="U31" s="70">
        <v>0</v>
      </c>
      <c r="V31" s="111">
        <v>0</v>
      </c>
      <c r="W31" s="70">
        <v>0</v>
      </c>
      <c r="X31" s="70">
        <v>0</v>
      </c>
      <c r="Y31" s="70">
        <v>0</v>
      </c>
      <c r="Z31" s="70">
        <v>0</v>
      </c>
      <c r="AA31" s="111">
        <v>0</v>
      </c>
      <c r="AB31" s="70">
        <v>0</v>
      </c>
      <c r="AC31" s="67">
        <v>0</v>
      </c>
      <c r="AD31" s="67">
        <v>-296</v>
      </c>
      <c r="AE31" s="67">
        <f t="shared" ref="AE31" si="9">AF31</f>
        <v>-243</v>
      </c>
      <c r="AF31" s="110">
        <v>-243</v>
      </c>
    </row>
    <row r="32" spans="2:32" s="37" customFormat="1" x14ac:dyDescent="0.25">
      <c r="B32" s="28" t="s">
        <v>160</v>
      </c>
      <c r="C32" s="9">
        <v>4</v>
      </c>
      <c r="D32" s="9">
        <v>3</v>
      </c>
      <c r="E32" s="20">
        <v>-2</v>
      </c>
      <c r="F32" s="9">
        <v>1</v>
      </c>
      <c r="G32" s="54">
        <v>1</v>
      </c>
      <c r="H32" s="9">
        <v>1</v>
      </c>
      <c r="I32" s="9">
        <v>48</v>
      </c>
      <c r="J32" s="9">
        <v>48</v>
      </c>
      <c r="K32" s="9">
        <v>113</v>
      </c>
      <c r="L32" s="54">
        <v>113</v>
      </c>
      <c r="M32" s="9">
        <v>107</v>
      </c>
      <c r="N32" s="9">
        <v>142</v>
      </c>
      <c r="O32" s="9">
        <v>402</v>
      </c>
      <c r="P32" s="9">
        <v>322</v>
      </c>
      <c r="Q32" s="111">
        <v>322</v>
      </c>
      <c r="R32" s="9">
        <v>433</v>
      </c>
      <c r="S32" s="9">
        <v>443</v>
      </c>
      <c r="T32" s="70">
        <v>230</v>
      </c>
      <c r="U32" s="70">
        <v>252</v>
      </c>
      <c r="V32" s="111">
        <v>252</v>
      </c>
      <c r="W32" s="70">
        <v>11</v>
      </c>
      <c r="X32" s="70">
        <v>-12</v>
      </c>
      <c r="Y32" s="70">
        <v>-23</v>
      </c>
      <c r="Z32" s="70">
        <v>-247</v>
      </c>
      <c r="AA32" s="111">
        <v>-247</v>
      </c>
      <c r="AB32" s="70">
        <v>-14</v>
      </c>
      <c r="AC32" s="67">
        <v>7</v>
      </c>
      <c r="AD32" s="67">
        <v>-57</v>
      </c>
      <c r="AE32" s="67">
        <f t="shared" ref="AE32" si="10">AF32</f>
        <v>-234</v>
      </c>
      <c r="AF32" s="110">
        <v>-234</v>
      </c>
    </row>
    <row r="33" spans="1:32" s="37" customFormat="1" x14ac:dyDescent="0.25">
      <c r="B33" s="28"/>
      <c r="C33" s="9"/>
      <c r="D33" s="9"/>
      <c r="E33" s="9"/>
      <c r="F33" s="9"/>
      <c r="G33" s="54"/>
      <c r="H33" s="9"/>
      <c r="I33" s="9"/>
      <c r="J33" s="9"/>
      <c r="K33" s="9"/>
      <c r="L33" s="54"/>
      <c r="M33" s="9"/>
      <c r="N33" s="9"/>
      <c r="O33" s="9"/>
      <c r="P33" s="9"/>
      <c r="Q33" s="111"/>
      <c r="R33" s="9"/>
      <c r="S33" s="9"/>
      <c r="T33" s="70"/>
      <c r="U33" s="70"/>
      <c r="V33" s="111"/>
      <c r="W33" s="70"/>
      <c r="X33" s="70"/>
      <c r="Y33" s="70"/>
      <c r="Z33" s="70"/>
      <c r="AA33" s="111"/>
      <c r="AB33" s="70"/>
      <c r="AC33" s="67"/>
      <c r="AD33" s="67"/>
      <c r="AE33" s="70"/>
      <c r="AF33" s="111"/>
    </row>
    <row r="34" spans="1:32" ht="14.95" thickBot="1" x14ac:dyDescent="0.3">
      <c r="B34" s="1" t="s">
        <v>161</v>
      </c>
      <c r="C34" s="15">
        <f t="shared" ref="C34:O34" si="11">SUM(C20:C32)</f>
        <v>6459</v>
      </c>
      <c r="D34" s="15">
        <f t="shared" si="11"/>
        <v>6111</v>
      </c>
      <c r="E34" s="15">
        <f t="shared" si="11"/>
        <v>5776</v>
      </c>
      <c r="F34" s="15">
        <f t="shared" si="11"/>
        <v>4253</v>
      </c>
      <c r="G34" s="59">
        <f t="shared" si="11"/>
        <v>4253</v>
      </c>
      <c r="H34" s="15">
        <f t="shared" si="11"/>
        <v>3969</v>
      </c>
      <c r="I34" s="15">
        <f t="shared" si="11"/>
        <v>4037</v>
      </c>
      <c r="J34" s="15">
        <f t="shared" si="11"/>
        <v>4092</v>
      </c>
      <c r="K34" s="15">
        <f t="shared" si="11"/>
        <v>4760</v>
      </c>
      <c r="L34" s="59">
        <f t="shared" si="11"/>
        <v>4760</v>
      </c>
      <c r="M34" s="15">
        <f t="shared" si="11"/>
        <v>5222</v>
      </c>
      <c r="N34" s="15">
        <f t="shared" si="11"/>
        <v>5428</v>
      </c>
      <c r="O34" s="15">
        <f t="shared" si="11"/>
        <v>5905</v>
      </c>
      <c r="P34" s="15">
        <v>6878</v>
      </c>
      <c r="Q34" s="121">
        <f t="shared" ref="Q34:AF34" si="12">SUM(Q20:Q32)</f>
        <v>6878</v>
      </c>
      <c r="R34" s="15">
        <f t="shared" si="12"/>
        <v>6969</v>
      </c>
      <c r="S34" s="15">
        <f t="shared" si="12"/>
        <v>6695</v>
      </c>
      <c r="T34" s="75">
        <f t="shared" si="12"/>
        <v>6222</v>
      </c>
      <c r="U34" s="75">
        <f t="shared" si="12"/>
        <v>5120</v>
      </c>
      <c r="V34" s="121">
        <f t="shared" si="12"/>
        <v>5120</v>
      </c>
      <c r="W34" s="75">
        <f t="shared" si="12"/>
        <v>4575</v>
      </c>
      <c r="X34" s="75">
        <f t="shared" si="12"/>
        <v>4358</v>
      </c>
      <c r="Y34" s="75">
        <f t="shared" si="12"/>
        <v>5849</v>
      </c>
      <c r="Z34" s="75">
        <f t="shared" si="12"/>
        <v>6917</v>
      </c>
      <c r="AA34" s="121">
        <f t="shared" si="12"/>
        <v>6917</v>
      </c>
      <c r="AB34" s="75">
        <f t="shared" si="12"/>
        <v>8805</v>
      </c>
      <c r="AC34" s="75">
        <f t="shared" si="12"/>
        <v>11182</v>
      </c>
      <c r="AD34" s="75">
        <f t="shared" si="12"/>
        <v>11758</v>
      </c>
      <c r="AE34" s="75">
        <f t="shared" si="12"/>
        <v>11459</v>
      </c>
      <c r="AF34" s="121">
        <f t="shared" si="12"/>
        <v>11459</v>
      </c>
    </row>
    <row r="35" spans="1:32" ht="14.95" thickTop="1" x14ac:dyDescent="0.25"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5"/>
      <c r="U35" s="7"/>
      <c r="V35" s="65"/>
      <c r="Z35" s="7"/>
      <c r="AA35" s="65"/>
      <c r="AB35" s="7"/>
      <c r="AC35" s="7"/>
      <c r="AE35" s="7"/>
      <c r="AF35" s="65"/>
    </row>
    <row r="36" spans="1:32" x14ac:dyDescent="0.25">
      <c r="A36" s="32"/>
      <c r="B36" s="33"/>
      <c r="C36" s="33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65"/>
      <c r="U36" s="7"/>
      <c r="V36" s="65"/>
      <c r="Z36" s="7"/>
      <c r="AA36" s="65"/>
      <c r="AB36" s="7"/>
      <c r="AC36" s="7"/>
      <c r="AE36" s="7"/>
      <c r="AF36" s="65"/>
    </row>
    <row r="37" spans="1:32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65"/>
      <c r="U37" s="7"/>
      <c r="V37" s="65"/>
      <c r="Z37" s="7"/>
      <c r="AA37" s="65"/>
      <c r="AB37" s="7"/>
      <c r="AC37" s="7"/>
      <c r="AE37" s="7"/>
      <c r="AF37" s="65"/>
    </row>
    <row r="38" spans="1:32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65"/>
      <c r="U38" s="7"/>
      <c r="V38" s="65"/>
      <c r="Z38" s="7"/>
      <c r="AA38" s="65"/>
      <c r="AB38" s="7"/>
      <c r="AC38" s="7"/>
      <c r="AE38" s="7"/>
      <c r="AF38" s="65"/>
    </row>
    <row r="39" spans="1:32" x14ac:dyDescent="0.25"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65"/>
      <c r="U39" s="7"/>
      <c r="V39" s="65"/>
      <c r="Z39" s="7"/>
      <c r="AA39" s="65"/>
      <c r="AB39" s="7"/>
      <c r="AC39" s="7"/>
      <c r="AE39" s="7"/>
      <c r="AF39" s="65"/>
    </row>
    <row r="40" spans="1:32" x14ac:dyDescent="0.25"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65"/>
      <c r="U40" s="7"/>
      <c r="V40" s="65"/>
      <c r="Z40" s="7"/>
      <c r="AA40" s="65"/>
      <c r="AB40" s="7"/>
      <c r="AC40" s="7"/>
      <c r="AE40" s="7"/>
      <c r="AF40" s="65"/>
    </row>
    <row r="41" spans="1:32" x14ac:dyDescent="0.25">
      <c r="C41" s="38"/>
      <c r="D41" s="38"/>
      <c r="E41" s="38"/>
      <c r="F41" s="38"/>
      <c r="G41" s="38"/>
      <c r="H41" s="38"/>
      <c r="I41" s="38"/>
      <c r="J41" s="38"/>
    </row>
    <row r="42" spans="1:32" x14ac:dyDescent="0.25">
      <c r="D42" s="38"/>
      <c r="E42" s="38"/>
      <c r="F42" s="38"/>
      <c r="I42" s="38"/>
      <c r="J42" s="38"/>
    </row>
    <row r="43" spans="1:32" x14ac:dyDescent="0.25">
      <c r="D43" s="38"/>
      <c r="E43" s="38"/>
      <c r="F43" s="38"/>
      <c r="I43" s="38"/>
      <c r="J43" s="38"/>
    </row>
    <row r="44" spans="1:32" x14ac:dyDescent="0.25">
      <c r="D44" s="38"/>
      <c r="E44" s="38"/>
      <c r="F44" s="38"/>
      <c r="I44" s="38"/>
      <c r="J44" s="38"/>
    </row>
    <row r="48" spans="1:32" x14ac:dyDescent="0.25">
      <c r="G48" s="38"/>
      <c r="H48" s="38"/>
    </row>
  </sheetData>
  <mergeCells count="6">
    <mergeCell ref="AB4:AF5"/>
    <mergeCell ref="C4:G5"/>
    <mergeCell ref="H4:L5"/>
    <mergeCell ref="M4:Q5"/>
    <mergeCell ref="R4:V5"/>
    <mergeCell ref="W4:AA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6 L6 C4 H4 M4 Q6:T6 V6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FBE2F14266B429FC4E3415B1E7D0B" ma:contentTypeVersion="13" ma:contentTypeDescription="Crie um novo documento." ma:contentTypeScope="" ma:versionID="7376deb878100c7ddacdaff694e8d926">
  <xsd:schema xmlns:xsd="http://www.w3.org/2001/XMLSchema" xmlns:xs="http://www.w3.org/2001/XMLSchema" xmlns:p="http://schemas.microsoft.com/office/2006/metadata/properties" xmlns:ns2="fbf45429-705a-4c2b-a167-8ee3e9d3d369" xmlns:ns3="1ab80ee4-f6d9-4378-9bbc-3533b4648881" targetNamespace="http://schemas.microsoft.com/office/2006/metadata/properties" ma:root="true" ma:fieldsID="3d4bdae9eb37988c5d9d42d88eb2d808" ns2:_="" ns3:_="">
    <xsd:import namespace="fbf45429-705a-4c2b-a167-8ee3e9d3d369"/>
    <xsd:import namespace="1ab80ee4-f6d9-4378-9bbc-3533b46488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f45429-705a-4c2b-a167-8ee3e9d3d3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b80ee4-f6d9-4378-9bbc-3533b46488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21DB97-F309-486D-8073-AE613CBCA120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c1c37b29-95d6-4702-86fd-61393a96f6d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DD2296E-4E4A-4450-B7ED-CFED8AEF0F01}"/>
</file>

<file path=customXml/itemProps3.xml><?xml version="1.0" encoding="utf-8"?>
<ds:datastoreItem xmlns:ds="http://schemas.openxmlformats.org/officeDocument/2006/customXml" ds:itemID="{E1A3605D-322C-4C5B-B9EA-731D56871BB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Cover</vt:lpstr>
      <vt:lpstr>Balance Sheet</vt:lpstr>
      <vt:lpstr>Income Statement</vt:lpstr>
      <vt:lpstr>Cash Flows Statement</vt:lpstr>
      <vt:lpstr>Adjusted EBITDA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Sauro Bagnaresi Neto</dc:creator>
  <cp:lastModifiedBy>Robson Vinicius Marques</cp:lastModifiedBy>
  <dcterms:created xsi:type="dcterms:W3CDTF">2019-03-14T19:14:16Z</dcterms:created>
  <dcterms:modified xsi:type="dcterms:W3CDTF">2022-04-04T23:47:59Z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0x010100FC2FBE2F14266B429FC4E3415B1E7D0B</vt:lpwstr>
  </property>
  <property fmtid="{D5CDD505-2E9C-101B-9397-08002B2CF9AE}" pid="3" name="Order">
    <vt:r8>3344800</vt:r8>
  </property>
</Properties>
</file>